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839" activeTab="7"/>
  </bookViews>
  <sheets>
    <sheet name="Instructions" sheetId="1" r:id="rId1"/>
    <sheet name="Baseline" sheetId="2" r:id="rId2"/>
    <sheet name="Summary" sheetId="3" r:id="rId3"/>
    <sheet name="Recycled tanker" sheetId="4" r:id="rId4"/>
    <sheet name="Rainwater tank" sheetId="5" r:id="rId5"/>
    <sheet name="Stormwater" sheetId="6" r:id="rId6"/>
    <sheet name="Wastewater" sheetId="7" r:id="rId7"/>
    <sheet name="Configuration" sheetId="8" r:id="rId8"/>
    <sheet name="Contacts" sheetId="9" r:id="rId9"/>
  </sheets>
  <definedNames>
    <definedName name="_Ref199834746" localSheetId="1">'Baseline'!$A$13</definedName>
    <definedName name="Reporting_finish">'Configuration'!#REF!</definedName>
    <definedName name="Reporting_start">'Configuration'!#REF!</definedName>
  </definedNames>
  <calcPr fullCalcOnLoad="1"/>
</workbook>
</file>

<file path=xl/sharedStrings.xml><?xml version="1.0" encoding="utf-8"?>
<sst xmlns="http://schemas.openxmlformats.org/spreadsheetml/2006/main" count="702" uniqueCount="300">
  <si>
    <t>Stormwater treatment deals with stormwater runoff from catchments such as roads and other paved areas.  Stormwater treatment systems are designed to either improve the quality of stormwater before it enters a watercourse, or to retain it for reuse, or both.  Systems can be be classified into physical or biological treatment systems and can be on a range of scales.  Physical systems include gross pollutant traps, rainwater tanks, sedimentation, filtration and disinfection.  Biological systems include ponds and lakes, vegetagted swales and buffer strips, rain gardens, tree pits and wetlands.  Systems are arranged in a treatment train and can include many treatment technologies.</t>
  </si>
  <si>
    <t>Stormwater treatment</t>
  </si>
  <si>
    <t>The AGO acknowledges that there is considerable uncertainty around how to calculate these effects though they can have significant impacts.</t>
  </si>
  <si>
    <t>Total emissions (tCO2e)</t>
  </si>
  <si>
    <t>Diesel usage emissions</t>
  </si>
  <si>
    <t>Type of material</t>
  </si>
  <si>
    <t>Design energy consumption (kWh/kL)</t>
  </si>
  <si>
    <t>Emissions Factor (tCO2/kL) Scope 1</t>
  </si>
  <si>
    <t>Emissions Factor (tCO2/kL) Scope 3</t>
  </si>
  <si>
    <r>
      <t>EF (Scope 2) (kgCO</t>
    </r>
    <r>
      <rPr>
        <b/>
        <vertAlign val="subscript"/>
        <sz val="10"/>
        <rFont val="Arial"/>
        <family val="2"/>
      </rPr>
      <t>2</t>
    </r>
    <r>
      <rPr>
        <b/>
        <sz val="10"/>
        <rFont val="Arial"/>
        <family val="2"/>
      </rPr>
      <t>/kWh)</t>
    </r>
  </si>
  <si>
    <r>
      <t>EF (Scope 3) (kgCO</t>
    </r>
    <r>
      <rPr>
        <b/>
        <vertAlign val="subscript"/>
        <sz val="10"/>
        <rFont val="Arial"/>
        <family val="2"/>
      </rPr>
      <t>2</t>
    </r>
    <r>
      <rPr>
        <b/>
        <sz val="10"/>
        <rFont val="Arial"/>
        <family val="2"/>
      </rPr>
      <t>/kWh)</t>
    </r>
  </si>
  <si>
    <r>
      <t>EF (Scope 1) (kgCO</t>
    </r>
    <r>
      <rPr>
        <b/>
        <vertAlign val="subscript"/>
        <sz val="10"/>
        <rFont val="Arial"/>
        <family val="2"/>
      </rPr>
      <t>2</t>
    </r>
    <r>
      <rPr>
        <b/>
        <sz val="10"/>
        <rFont val="Arial"/>
        <family val="2"/>
      </rPr>
      <t>/GJ)</t>
    </r>
  </si>
  <si>
    <r>
      <t>EF (Scope 3) (kgCO</t>
    </r>
    <r>
      <rPr>
        <b/>
        <vertAlign val="subscript"/>
        <sz val="10"/>
        <rFont val="Arial"/>
        <family val="2"/>
      </rPr>
      <t>2</t>
    </r>
    <r>
      <rPr>
        <b/>
        <sz val="10"/>
        <rFont val="Arial"/>
        <family val="2"/>
      </rPr>
      <t>/GJ)</t>
    </r>
  </si>
  <si>
    <t>Diesel emissions factor - Scope 1 (tCO2/kL)</t>
  </si>
  <si>
    <t>Diesel emissions factor - Scope 3 (tCO2/kL)</t>
  </si>
  <si>
    <t xml:space="preserve">Emissions Factor - Scope 2 (kgCO2/kWh) </t>
  </si>
  <si>
    <t xml:space="preserve">Emissions Factor - Scope 3 (kgCO2/kWh) </t>
  </si>
  <si>
    <t>Configuration</t>
  </si>
  <si>
    <t>Emission Factor for Automotive Diesel Usage: Transport (Table 78)</t>
  </si>
  <si>
    <t>Embodied Energy</t>
  </si>
  <si>
    <t>Cement</t>
  </si>
  <si>
    <t>PVC</t>
  </si>
  <si>
    <t>Glass</t>
  </si>
  <si>
    <t>Aluminium</t>
  </si>
  <si>
    <t>Copper</t>
  </si>
  <si>
    <t>Galvanised Steel</t>
  </si>
  <si>
    <t>Material</t>
  </si>
  <si>
    <t>Embodied Energy (GJ/tonneMaterial)</t>
  </si>
  <si>
    <t>Comments</t>
  </si>
  <si>
    <t>Embodied energy for virgin material - Timber hardboard</t>
  </si>
  <si>
    <t>ICE V1.5 Beta</t>
  </si>
  <si>
    <t>Embodied energy for virgin material - plastic PVC general</t>
  </si>
  <si>
    <t>Embodied energy for virgin material - glass general</t>
  </si>
  <si>
    <t>Embodied energy for virgin material - aluminium</t>
  </si>
  <si>
    <t>Embodied energy for virgin material - copper</t>
  </si>
  <si>
    <t>Exhibit B-17</t>
  </si>
  <si>
    <t>Embodied energy for virgin material - steel galvanised</t>
  </si>
  <si>
    <t>Mass of Material (tonne)</t>
  </si>
  <si>
    <t>Domestic</t>
  </si>
  <si>
    <t>International</t>
  </si>
  <si>
    <t>Embodied energy emissions from equipment, pipes, tanks etc</t>
  </si>
  <si>
    <t>Equipment 1</t>
  </si>
  <si>
    <t>Equipment 2</t>
  </si>
  <si>
    <t>Equipment 3</t>
  </si>
  <si>
    <t>Equipment 4</t>
  </si>
  <si>
    <t>Equipment 5</t>
  </si>
  <si>
    <t>General notes</t>
  </si>
  <si>
    <t>Source: National Greenhouse and Energy Reporting System "Technical Guidelines for the estimation of Greenhouse Emissions and Energy at Facility Level", Dec 07</t>
  </si>
  <si>
    <r>
      <t>Ground Emissions Factor (kgC0</t>
    </r>
    <r>
      <rPr>
        <b/>
        <vertAlign val="subscript"/>
        <sz val="10"/>
        <rFont val="Arial"/>
        <family val="2"/>
      </rPr>
      <t>2</t>
    </r>
    <r>
      <rPr>
        <b/>
        <sz val="10"/>
        <rFont val="Arial"/>
        <family val="2"/>
      </rPr>
      <t>/passenger flight)</t>
    </r>
  </si>
  <si>
    <r>
      <t>Air Emissions (kgCO</t>
    </r>
    <r>
      <rPr>
        <b/>
        <vertAlign val="subscript"/>
        <sz val="10"/>
        <rFont val="Arial"/>
        <family val="2"/>
      </rPr>
      <t>2</t>
    </r>
    <r>
      <rPr>
        <b/>
        <sz val="10"/>
        <rFont val="Arial"/>
        <family val="2"/>
      </rPr>
      <t>/passenger km)</t>
    </r>
  </si>
  <si>
    <t>-</t>
  </si>
  <si>
    <t>Total</t>
  </si>
  <si>
    <t>Calculation cells</t>
  </si>
  <si>
    <t>Emissions Factors for consumption of purchased electricity for end users (Table 75)</t>
  </si>
  <si>
    <t>State</t>
  </si>
  <si>
    <t>SA</t>
  </si>
  <si>
    <t>WA</t>
  </si>
  <si>
    <t>NT</t>
  </si>
  <si>
    <t>ACT</t>
  </si>
  <si>
    <t>NSW</t>
  </si>
  <si>
    <t>VIC</t>
  </si>
  <si>
    <t>QLD</t>
  </si>
  <si>
    <t>Input cells</t>
  </si>
  <si>
    <t>Emission Factor for Air Travel</t>
  </si>
  <si>
    <t>Flight journey</t>
  </si>
  <si>
    <t>Source:  Energetics study prepared for the AGO in 2007</t>
  </si>
  <si>
    <t xml:space="preserve">Emissions do not take into account additional warming effects of aviation such as water vapour in jet trails and effects on ozone.   </t>
  </si>
  <si>
    <t>Note:  Aviation turbine and associated ground emissions are both taken into account.</t>
  </si>
  <si>
    <t>TAS</t>
  </si>
  <si>
    <t>Emissions Factors for the consumption of natural gas: Small user (Table 77)</t>
  </si>
  <si>
    <t>Source</t>
  </si>
  <si>
    <t>Vic</t>
  </si>
  <si>
    <t>Annual consumption (kWh)</t>
  </si>
  <si>
    <t>Greenpower (%)</t>
  </si>
  <si>
    <t>Emissions (tCO2-e)</t>
  </si>
  <si>
    <t>Average fuel consumption for a truck (L/km)</t>
  </si>
  <si>
    <t>Average distance for a truck (km)</t>
  </si>
  <si>
    <t>Number of trips in a year</t>
  </si>
  <si>
    <t>Total number of kms</t>
  </si>
  <si>
    <t>Total fuel consumption (kL)</t>
  </si>
  <si>
    <t>Embodied Energy Factor (GJ/tonne material)</t>
  </si>
  <si>
    <t>Emissions Factor Victorian - FFC (kgCO2/kWh)</t>
  </si>
  <si>
    <t>Total Embodied Energy (kWh)</t>
  </si>
  <si>
    <t>Volume of water per year (kL)</t>
  </si>
  <si>
    <t>End-usage electricity emissions from water distribution</t>
  </si>
  <si>
    <t>Pump 1</t>
  </si>
  <si>
    <t>Pump 2</t>
  </si>
  <si>
    <t>Pump 3</t>
  </si>
  <si>
    <t>Pump 4</t>
  </si>
  <si>
    <t>Pump 5</t>
  </si>
  <si>
    <t>Truck 1</t>
  </si>
  <si>
    <t>Truck 2</t>
  </si>
  <si>
    <t>Truck 3</t>
  </si>
  <si>
    <t>Truck 4</t>
  </si>
  <si>
    <t>Truck 5</t>
  </si>
  <si>
    <t>End-usage electricity emissions from water treatment</t>
  </si>
  <si>
    <t>Plant 1</t>
  </si>
  <si>
    <t>Plant 2</t>
  </si>
  <si>
    <t>Plant 3</t>
  </si>
  <si>
    <t>Plant 4</t>
  </si>
  <si>
    <t>Plant 5</t>
  </si>
  <si>
    <r>
      <t xml:space="preserve">Emissions calculators for Baseline (to determine baseline emissions </t>
    </r>
    <r>
      <rPr>
        <b/>
        <sz val="11"/>
        <color indexed="12"/>
        <rFont val="Arial"/>
        <family val="2"/>
      </rPr>
      <t>before</t>
    </r>
    <r>
      <rPr>
        <b/>
        <sz val="11"/>
        <rFont val="Arial"/>
        <family val="2"/>
      </rPr>
      <t xml:space="preserve"> water saving scheme)</t>
    </r>
  </si>
  <si>
    <t>Scope 1 emissions (tCO2)</t>
  </si>
  <si>
    <t>Scope 3 emissions (tCO2)</t>
  </si>
  <si>
    <t>Error check</t>
  </si>
  <si>
    <t>Scope 2 emissions (tCO2)</t>
  </si>
  <si>
    <t>Summary - Total Emissions</t>
  </si>
  <si>
    <t xml:space="preserve">Emissions calculators from: </t>
  </si>
  <si>
    <t>Emissions calculators from:</t>
  </si>
  <si>
    <t>Rainwater tanks</t>
  </si>
  <si>
    <t>Emissions calculators for:</t>
  </si>
  <si>
    <t>Baseline</t>
  </si>
  <si>
    <t>Scope 1</t>
  </si>
  <si>
    <t>Scope 2</t>
  </si>
  <si>
    <t>Scope 3</t>
  </si>
  <si>
    <t>Volume of Water per annum</t>
  </si>
  <si>
    <t>From the scheme</t>
  </si>
  <si>
    <t>If applicable: Yield of diverted wastewater per annum (kL/yr)</t>
  </si>
  <si>
    <t>Baseline without water saving scheme</t>
  </si>
  <si>
    <t>With water saving scheme</t>
  </si>
  <si>
    <t>Total emissions from water saving scheme</t>
  </si>
  <si>
    <t>Total minus basline</t>
  </si>
  <si>
    <t>Emissions minus Baseline</t>
  </si>
  <si>
    <t>kL</t>
  </si>
  <si>
    <t>Water Saving Scheme Emissions Factor</t>
  </si>
  <si>
    <t>Emissions from wastewater treatment</t>
  </si>
  <si>
    <t>Type of wastewater treatment</t>
  </si>
  <si>
    <t>Treatment Type</t>
  </si>
  <si>
    <t xml:space="preserve">Fraction of BOD </t>
  </si>
  <si>
    <t>Managed aerobic</t>
  </si>
  <si>
    <t>Unmanaged aerobic</t>
  </si>
  <si>
    <t>Anaerobic digestor/reactor</t>
  </si>
  <si>
    <t>Shallow anaerobic lagoon (&lt;2m)</t>
  </si>
  <si>
    <t>Deep anaerobic lagoon (&gt;2m)</t>
  </si>
  <si>
    <t>Source: National Greenhouse Accounts Factors Jan 08, DCC, table 22</t>
  </si>
  <si>
    <t>Wastewater treatment emissions variables and default values</t>
  </si>
  <si>
    <t>DCw (kg/person/yr)</t>
  </si>
  <si>
    <t>Fsl</t>
  </si>
  <si>
    <t>Efw (kgCH4/kg BOD)</t>
  </si>
  <si>
    <t>Efsl (kg CH4/kg BOD sludge)</t>
  </si>
  <si>
    <t>fassl</t>
  </si>
  <si>
    <t>CH4 GWP</t>
  </si>
  <si>
    <t>Population serverd from treatment ('000)</t>
  </si>
  <si>
    <t>Recovered methane (tCh4/yr)</t>
  </si>
  <si>
    <t>Wastewater - water mining</t>
  </si>
  <si>
    <t>Particleboard</t>
  </si>
  <si>
    <t>Plywood</t>
  </si>
  <si>
    <t>Plastics</t>
  </si>
  <si>
    <t>Synthetic rubber</t>
  </si>
  <si>
    <t>Acrylic paint</t>
  </si>
  <si>
    <t>Plasterboard</t>
  </si>
  <si>
    <t>Clay bricks</t>
  </si>
  <si>
    <t>stabilised earth</t>
  </si>
  <si>
    <t>http://www.yourhome.gov.au/technical/fs31.htm</t>
  </si>
  <si>
    <t>Operational life of scheme (yrs)</t>
  </si>
  <si>
    <t>Petrol usage emissions (for pumping water)</t>
  </si>
  <si>
    <t>Gravel</t>
  </si>
  <si>
    <t>Embodied energy for virgin material - Stone gravel/chippings</t>
  </si>
  <si>
    <t>Hardboard</t>
  </si>
  <si>
    <t>Embodied energy for virgin material - Cement General</t>
  </si>
  <si>
    <t>Embodied energy for virgin material - Timber Particleboard</t>
  </si>
  <si>
    <t>Embodied energy for virgin material - Timber Plywood</t>
  </si>
  <si>
    <t>Embodied energy for virgin material - plastic general</t>
  </si>
  <si>
    <t>Embodied energy for virgin material - Rubber synthetic</t>
  </si>
  <si>
    <t>ICE V1.5 Beta; includes feedstock energy</t>
  </si>
  <si>
    <t>Embodied energy for virgin material - Paint</t>
  </si>
  <si>
    <t>Embodied energy for virgin material - Plasterboard</t>
  </si>
  <si>
    <t xml:space="preserve">Gas use emissions </t>
  </si>
  <si>
    <t>Design energy consumption (MJ/kL)</t>
  </si>
  <si>
    <t>Annual consumption (MJ)</t>
  </si>
  <si>
    <t xml:space="preserve">Emissions Factor - Scope 1 (kgCO2/GJ) </t>
  </si>
  <si>
    <t xml:space="preserve">Emissions Factor - Scope 3 (kgCO2/GJ) </t>
  </si>
  <si>
    <t>City West Water</t>
  </si>
  <si>
    <t>Melbourne Water</t>
  </si>
  <si>
    <t>Total emissions factor (tCO2e/ML)</t>
  </si>
  <si>
    <t>Potable water emissions factor</t>
  </si>
  <si>
    <t>Wastewater emissions factor</t>
  </si>
  <si>
    <t xml:space="preserve">sends wastewater to Melbourne Water Corporation and City West Water.  </t>
  </si>
  <si>
    <t>Hence, under BAU the boundary for emissions includes City West Water and</t>
  </si>
  <si>
    <t xml:space="preserve"> the portion of Melbourne Water Corporation’s services to City West Water.</t>
  </si>
  <si>
    <t>Figure 1. Boundaries for emissions baseline for business-as-usual BAU and for emissions inventory water saving scheme</t>
  </si>
  <si>
    <t>The water saving scheme will be located in the City of Melbourne,</t>
  </si>
  <si>
    <t xml:space="preserve"> hence the boundary for its emissions is its physical boundary which includes a single site </t>
  </si>
  <si>
    <t xml:space="preserve">(i.e. rainwater tank) or series of activities (i.e. rainwater tank plus distribution system).  </t>
  </si>
  <si>
    <t>Emissions (tCO2)</t>
  </si>
  <si>
    <t xml:space="preserve">Potable water emissions </t>
  </si>
  <si>
    <t xml:space="preserve">Wastewater emissions </t>
  </si>
  <si>
    <t xml:space="preserve">Scope 1 Emissions </t>
  </si>
  <si>
    <t>Scope 2 Emissions</t>
  </si>
  <si>
    <t>Scope 3 Emissions</t>
  </si>
  <si>
    <t>Potable water</t>
  </si>
  <si>
    <t>Wastewater</t>
  </si>
  <si>
    <t>Scope 1 Emissions</t>
  </si>
  <si>
    <t>Contacts in City of Melbourne</t>
  </si>
  <si>
    <t>Water Sensitive Urban Design Officer</t>
  </si>
  <si>
    <t>Ralf Pfleiderer</t>
  </si>
  <si>
    <t>Ralf.PFLEIDERER@melbourne.vic.gov.au</t>
  </si>
  <si>
    <t>Contacts for Water Utlities are:</t>
  </si>
  <si>
    <t>Kate McAuliffe</t>
  </si>
  <si>
    <t>Environmental Officer</t>
  </si>
  <si>
    <t>Ph: 61 3 9313 8523</t>
  </si>
  <si>
    <t>Mob: 0438 091 803</t>
  </si>
  <si>
    <t>Email: kmcauliffe@citywestwater.com.au</t>
  </si>
  <si>
    <t>Erik Ligtermoet</t>
  </si>
  <si>
    <t>Environmental Management</t>
  </si>
  <si>
    <t>Ph: 61 3 9235 7219</t>
  </si>
  <si>
    <t>Email: erik.ligtermoet@melbournewater.com.au</t>
  </si>
  <si>
    <t xml:space="preserve">Note: as emissions from embodied energy is generally a small proportion of the total inventory, they have not been amortised over the operating life of the scheme </t>
  </si>
  <si>
    <t>and should be treated as a once-off in the first year of the scheme</t>
  </si>
  <si>
    <t>Summary</t>
  </si>
  <si>
    <t>Note: City West Water's emissions for 2006/07 is considered to be zero as they</t>
  </si>
  <si>
    <t>have been reduced and purchased with renewable energy or offset.</t>
  </si>
  <si>
    <t>Electricity use emissions are calculated using inputs on a kWh/kL basis from the equipment rating or annual kWh usage</t>
  </si>
  <si>
    <t>Gas use emissions are calculated using inputs on a MJ/kL basis or annual MJ usage</t>
  </si>
  <si>
    <t>Inputs to calculate emissions are type of material (i.e. copper) and estimated weight (i.e. 500kgs of PVC for piping)</t>
  </si>
  <si>
    <r>
      <t>Emissions calculated are full fuel cycle (</t>
    </r>
    <r>
      <rPr>
        <sz val="10"/>
        <rFont val="Arial"/>
        <family val="2"/>
      </rPr>
      <t>the extraction, production and transport of fuel</t>
    </r>
    <r>
      <rPr>
        <sz val="10"/>
        <rFont val="Arial"/>
        <family val="0"/>
      </rPr>
      <t>)</t>
    </r>
  </si>
  <si>
    <t>Input cells are highlighted green</t>
  </si>
  <si>
    <r>
      <t xml:space="preserve">Calculation cells are highlighted </t>
    </r>
    <r>
      <rPr>
        <sz val="10"/>
        <rFont val="Arial"/>
        <family val="2"/>
      </rPr>
      <t>blue and can only be accessed through a password 'Melbourne' under the worksheet protection</t>
    </r>
  </si>
  <si>
    <t>Emissions will need to be updated on an annual basis (where available)</t>
  </si>
  <si>
    <t>Total baseline emissions</t>
  </si>
  <si>
    <t>Fuel Consumption rates by vehicle type (L/km)</t>
  </si>
  <si>
    <t>Vehicle type Fuel type</t>
  </si>
  <si>
    <t>Light Commercial Vehicles</t>
  </si>
  <si>
    <t>Automotive gasoline (unleaded petrol)</t>
  </si>
  <si>
    <t>Automotive diesel oil (diesel)</t>
  </si>
  <si>
    <t>LPG/ Natural Gas (CNG)</t>
  </si>
  <si>
    <t>E-10</t>
  </si>
  <si>
    <t xml:space="preserve">Passenger Cars </t>
  </si>
  <si>
    <t xml:space="preserve">Medium Trucks (rigid trucks) </t>
  </si>
  <si>
    <t xml:space="preserve">Heavy Trucks (articulated trucks) </t>
  </si>
  <si>
    <t xml:space="preserve">Buses </t>
  </si>
  <si>
    <t xml:space="preserve">Motor Cycles </t>
  </si>
  <si>
    <t xml:space="preserve">NA </t>
  </si>
  <si>
    <t>Source: Table 4 AGO Factors &amp; Methods Workbook 2006</t>
  </si>
  <si>
    <t>Vehicle type</t>
  </si>
  <si>
    <t xml:space="preserve">Diesel use emissions are calculated using inputs on average distance for 1 trip and number of trips per year.  The type of vehicle is also an </t>
  </si>
  <si>
    <t>input so that fuel consumption from the distance travelled can be calculated.</t>
  </si>
  <si>
    <r>
      <t>Scope 1</t>
    </r>
    <r>
      <rPr>
        <sz val="10"/>
        <rFont val="Arial"/>
        <family val="0"/>
      </rPr>
      <t xml:space="preserve"> covers direct emissions from sources within the boundary of an organisation such as fuel combustion </t>
    </r>
  </si>
  <si>
    <t>and manufacturing processes.</t>
  </si>
  <si>
    <r>
      <t>Scope 2</t>
    </r>
    <r>
      <rPr>
        <sz val="10"/>
        <rFont val="Arial"/>
        <family val="0"/>
      </rPr>
      <t xml:space="preserve"> covers indirect emissions from the consumption of purchased electricity, steam or heat produced by another organisation.</t>
    </r>
  </si>
  <si>
    <t xml:space="preserve">Scope 2 emissions result from the combustion of fuel to generate the electricity, steam or heat and do not include emissions associated </t>
  </si>
  <si>
    <t xml:space="preserve"> in the same scope.</t>
  </si>
  <si>
    <t>with the production of fuel. Scopes 1 and 2 are carefully defined to ensure that two or more organisations do not report the same emissions</t>
  </si>
  <si>
    <r>
      <t>Scope 3</t>
    </r>
    <r>
      <rPr>
        <sz val="10"/>
        <rFont val="Arial"/>
        <family val="0"/>
      </rPr>
      <t xml:space="preserve"> includes all other indirect emissions that are a consequence of an organisation’s activities but are not from sources owned or</t>
    </r>
  </si>
  <si>
    <t>Emissions are calculated in Scope 1, Scope 2 and Scope 3</t>
  </si>
  <si>
    <t>Emissions for Year 1</t>
  </si>
  <si>
    <t>Emissions for Year 2 onwards</t>
  </si>
  <si>
    <t>Contacts for Energetics are:</t>
  </si>
  <si>
    <t>Peter Holt</t>
  </si>
  <si>
    <t>Principal Consultant</t>
  </si>
  <si>
    <t xml:space="preserve">Ph: 61 3 9691 5503 </t>
  </si>
  <si>
    <t>Ph: 61 3 9658 8663</t>
  </si>
  <si>
    <t>Mob: 61 4 1765 7779</t>
  </si>
  <si>
    <t>Email: holtp@energetics.com.au</t>
  </si>
  <si>
    <t>Senior Consultant</t>
  </si>
  <si>
    <t>Chin Ching Soo</t>
  </si>
  <si>
    <t xml:space="preserve">Ph: 61 3 9691 5507 </t>
  </si>
  <si>
    <t>Mob: 61 4 0784 0604</t>
  </si>
  <si>
    <t>Email: sooc@energetics.com.au</t>
  </si>
  <si>
    <t>BAU: Water use per annum (kL/yr)</t>
  </si>
  <si>
    <t>BAU: Wastewater generation per annum (kL/yr)</t>
  </si>
  <si>
    <t>Emissions from monitored sources for Year 1</t>
  </si>
  <si>
    <t>Emissions from embodied energy in equipment is included as a once-off in Year 1</t>
  </si>
  <si>
    <t>and not included in subsequent years.</t>
  </si>
  <si>
    <t>Emissions from embodied energy in equipment is included as a once-off in Year 1and not included in subsequent years.</t>
  </si>
  <si>
    <t xml:space="preserve">City of Melbourne is supplied potable water from and </t>
  </si>
  <si>
    <t>Recycled water is tanked by authorised water carrier tankers.  The tankers that are used for potable supply are cleaned and disinfected in accordance with industry hygiene standards, and are fitted with air filters to ensure the water is delivered safely and to drinking water quality standards. Tankers can deliver in a range of rigid-body or trailer sizes from 10,000 litres up to 25,000 litres.</t>
  </si>
  <si>
    <t>Rain water tanks can be above or below ground tanks that are made of steel, stainless steel, plastic or concrete. Capacities ranging from 5,000 to 100,000 litres. Tank designs include tall, slimline, or circular rainwater tanks.  Underground tanks can now be supplied in donut and bagel shapes.  There are a range of manufacturers that can also supply custom sized tanks to fit into specific areas. Other equipment that is installed with rainwater tanks include pumps and water pipes.</t>
  </si>
  <si>
    <t xml:space="preserve">Water mining (also referred to as ‘sewer mining’) involves extracting wastewater from the sewerage (blackwater) system, treating and recycling the water and disposing of the remaining waste to the sewer for centralised treatment. Typically the water is disinfected to Class A standard (10 E.Coli/100mL, 10 BOD mg/L and 5 mg/L SS).  Water mining systems are typically a combination of technologies and can be purchased as ‘package treatment plants’.  These are compact, sometimes portable treatment stations available from proprietary companies.  Often they are sized to fit inside a shipping container. </t>
  </si>
  <si>
    <t>Water Saving Schemes - Greenhouse Gas Calculator Version 0.3</t>
  </si>
  <si>
    <r>
      <t>Emission factors used are tabulated in the '</t>
    </r>
    <r>
      <rPr>
        <b/>
        <sz val="10"/>
        <color indexed="23"/>
        <rFont val="Arial"/>
        <family val="2"/>
      </rPr>
      <t>Configuration</t>
    </r>
    <r>
      <rPr>
        <sz val="10"/>
        <rFont val="Arial"/>
        <family val="0"/>
      </rPr>
      <t xml:space="preserve">' worksheet.  </t>
    </r>
  </si>
  <si>
    <t>tCO2e/KL</t>
  </si>
  <si>
    <t>With Water Saving Scheme Emissions (tCO2e)</t>
  </si>
  <si>
    <t>Emissions are shown as tCO2e/kL and are divided into scope 1, 2 and 3.</t>
  </si>
  <si>
    <t xml:space="preserve">This worksheet compares the emissions of the baseline water/wastewater system with each alternative water saving scheme.   </t>
  </si>
  <si>
    <t>Emissions for each water saving scheme are usually higher than the baseline and are calculated on a comparative basis.  This means baseline emissions are subtracted from the each alternative scheme.</t>
  </si>
  <si>
    <t>This spreadsheet is designed to calculate emissions from various water recycling schemes and compare them to a baseline of 'business as usual' (BAU) which is water provided through the existing potable water and wastewater reticulated networks.</t>
  </si>
  <si>
    <t xml:space="preserve">This worksheet provides the emission factors for the 'business as usual' water supply into City of Melbourne.  Emissions factors are comprised of emissions from Melbourne Water and City West Water.  </t>
  </si>
  <si>
    <t>Energy use associated with the operation of the scheme (electricity or gas)</t>
  </si>
  <si>
    <t>Emissions associated with the embodied materials of equipment i.e. galvanised steel, copper and plastic</t>
  </si>
  <si>
    <t>Energy use associate with the operation of vehicles to run the scheme (diesel, unleaded petrol, LPG, E10)</t>
  </si>
  <si>
    <t>Emissions associated with on-site wastewater treatment</t>
  </si>
  <si>
    <t>served by the treatment plant and tonnes of any recovered methane.</t>
  </si>
  <si>
    <t>On-site treatment of wastewater emissions are calculated using inputs of the type of wastewater treatment (i.e.managed aerobic), population</t>
  </si>
  <si>
    <t>Recycled water by tanker</t>
  </si>
  <si>
    <t>controlled by the organisation.</t>
  </si>
  <si>
    <r>
      <t xml:space="preserve">BAU  wastewater generation per annum (kL/yr) </t>
    </r>
    <r>
      <rPr>
        <sz val="10"/>
        <color indexed="8"/>
        <rFont val="Arial"/>
        <family val="2"/>
      </rPr>
      <t>is the volume of waterwaste generated by the BAU scheme.</t>
    </r>
  </si>
  <si>
    <t>These worksheets calculate emissions from the alternative water saving schemes and the BAU without the water saving schemes.</t>
  </si>
  <si>
    <t>Water Saving Schemes</t>
  </si>
  <si>
    <t>The main sources of emissions calculated for water saving schemes are listed below.  In each water saving scheme, each emission source is broken into scope 1,2 or 3.  The relevant emissions factors are also shown.</t>
  </si>
  <si>
    <r>
      <t>BAU water emissions</t>
    </r>
    <r>
      <rPr>
        <sz val="10"/>
        <color indexed="8"/>
        <rFont val="Arial"/>
        <family val="2"/>
      </rPr>
      <t xml:space="preserve"> per annum (kL/yr) is the volume of water used by the BAU scheme.  Any demand management initiatives should be included in this figure.</t>
    </r>
  </si>
  <si>
    <r>
      <t>Scheme water emissions</t>
    </r>
    <r>
      <rPr>
        <sz val="10"/>
        <color indexed="8"/>
        <rFont val="Arial"/>
        <family val="2"/>
      </rPr>
      <t xml:space="preserve"> per annum (kL/yr) is the volume of water used by the alternative scheme.  Any demand management initiatives should be included in this figure.  This figure may be the same or different to the BAU figure.</t>
    </r>
  </si>
  <si>
    <r>
      <t>Scheme wastewater emissions</t>
    </r>
    <r>
      <rPr>
        <sz val="10"/>
        <color indexed="8"/>
        <rFont val="Arial"/>
        <family val="2"/>
      </rPr>
      <t xml:space="preserve"> per annum (kL/yr) is the volume of water generated by the BAU scheme.  Any demand management initiatives should be included in this figure. This figure may be the same or different to the BAU figure.</t>
    </r>
  </si>
  <si>
    <r>
      <t>Details of personel during the development of the calculators are in the '</t>
    </r>
    <r>
      <rPr>
        <b/>
        <sz val="10"/>
        <color indexed="21"/>
        <rFont val="Arial"/>
        <family val="2"/>
      </rPr>
      <t>Contacts</t>
    </r>
    <r>
      <rPr>
        <sz val="10"/>
        <rFont val="Arial"/>
        <family val="0"/>
      </rPr>
      <t>' worksheet</t>
    </r>
  </si>
  <si>
    <r>
      <t>These emissions factors need to be updated annually (i.e.current factors are for 2006/07) and the appropriate contacts are in the '</t>
    </r>
    <r>
      <rPr>
        <b/>
        <i/>
        <sz val="10"/>
        <color indexed="21"/>
        <rFont val="Arial"/>
        <family val="2"/>
      </rPr>
      <t>Contacts</t>
    </r>
    <r>
      <rPr>
        <b/>
        <i/>
        <sz val="10"/>
        <color indexed="8"/>
        <rFont val="Arial"/>
        <family val="2"/>
      </rPr>
      <t>' worksheet</t>
    </r>
  </si>
  <si>
    <t>Concrete</t>
  </si>
  <si>
    <t>Embodied energy for virgin material - General Concrete</t>
  </si>
  <si>
    <t>Scheme: Non-potable water use per annum (kL/yr)</t>
  </si>
  <si>
    <t>Scheme: Potable water use per annum (kL/yr)</t>
  </si>
  <si>
    <t>Scheme: Wastewater generation per annum (kL/yr) discharged to sewer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</si>
</sst>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C09]dddd\,\ d\ mmmm\ yyyy"/>
    <numFmt numFmtId="171" formatCode="_-* #,##0.0_-;\-* #,##0.0_-;_-* &quot;-&quot;??_-;_-@_-"/>
    <numFmt numFmtId="172" formatCode="_-* #,##0_-;\-* #,##0_-;_-* &quot;-&quot;??_-;_-@_-"/>
    <numFmt numFmtId="173" formatCode="_-* #,##0.000_-;\-* #,##0.000_-;_-* &quot;-&quot;??_-;_-@_-"/>
    <numFmt numFmtId="174" formatCode="_-* #,##0.000_-;\-* #,##0.000_-;_-* &quot;-&quot;???_-;_-@_-"/>
    <numFmt numFmtId="175" formatCode="0.0"/>
    <numFmt numFmtId="176" formatCode="0.00000"/>
    <numFmt numFmtId="177" formatCode="0.0000"/>
    <numFmt numFmtId="178" formatCode="0.000000"/>
    <numFmt numFmtId="179" formatCode="0.000"/>
    <numFmt numFmtId="180" formatCode="&quot;Yes&quot;;&quot;Yes&quot;;&quot;No&quot;"/>
    <numFmt numFmtId="181" formatCode="&quot;True&quot;;&quot;True&quot;;&quot;False&quot;"/>
    <numFmt numFmtId="182" formatCode="&quot;On&quot;;&quot;On&quot;;&quot;Off&quot;"/>
    <numFmt numFmtId="183" formatCode="[$€-2]\ #,##0.00_);[Red]\([$€-2]\ #,##0.00\)"/>
  </numFmts>
  <fonts count="51">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0"/>
      <color indexed="21"/>
      <name val="Arial"/>
      <family val="2"/>
    </font>
    <font>
      <sz val="10"/>
      <color indexed="12"/>
      <name val="Arial"/>
      <family val="2"/>
    </font>
    <font>
      <b/>
      <sz val="12"/>
      <name val="Arial"/>
      <family val="2"/>
    </font>
    <font>
      <sz val="11"/>
      <name val="Arial"/>
      <family val="0"/>
    </font>
    <font>
      <sz val="10"/>
      <color indexed="10"/>
      <name val="Arial"/>
      <family val="0"/>
    </font>
    <font>
      <sz val="10"/>
      <color indexed="9"/>
      <name val="Arial"/>
      <family val="0"/>
    </font>
    <font>
      <b/>
      <vertAlign val="subscript"/>
      <sz val="10"/>
      <name val="Arial"/>
      <family val="2"/>
    </font>
    <font>
      <b/>
      <sz val="11"/>
      <name val="Arial"/>
      <family val="2"/>
    </font>
    <font>
      <b/>
      <sz val="22"/>
      <color indexed="9"/>
      <name val="Arial"/>
      <family val="0"/>
    </font>
    <font>
      <b/>
      <sz val="10"/>
      <color indexed="10"/>
      <name val="Arial"/>
      <family val="2"/>
    </font>
    <font>
      <sz val="10"/>
      <color indexed="23"/>
      <name val="Arial"/>
      <family val="0"/>
    </font>
    <font>
      <b/>
      <sz val="11"/>
      <color indexed="12"/>
      <name val="Arial"/>
      <family val="2"/>
    </font>
    <font>
      <b/>
      <sz val="10"/>
      <color indexed="22"/>
      <name val="Arial"/>
      <family val="2"/>
    </font>
    <font>
      <sz val="10"/>
      <color indexed="22"/>
      <name val="Arial"/>
      <family val="0"/>
    </font>
    <font>
      <b/>
      <i/>
      <sz val="11"/>
      <color indexed="18"/>
      <name val="Arial"/>
      <family val="2"/>
    </font>
    <font>
      <sz val="9"/>
      <name val="Arial"/>
      <family val="0"/>
    </font>
    <font>
      <i/>
      <sz val="10"/>
      <color indexed="10"/>
      <name val="Arial"/>
      <family val="2"/>
    </font>
    <font>
      <sz val="10"/>
      <color indexed="8"/>
      <name val="Arial"/>
      <family val="2"/>
    </font>
    <font>
      <i/>
      <sz val="10"/>
      <color indexed="12"/>
      <name val="Arial"/>
      <family val="2"/>
    </font>
    <font>
      <b/>
      <sz val="10"/>
      <color indexed="12"/>
      <name val="Arial"/>
      <family val="2"/>
    </font>
    <font>
      <i/>
      <sz val="10"/>
      <name val="Arial"/>
      <family val="2"/>
    </font>
    <font>
      <b/>
      <sz val="10"/>
      <color indexed="8"/>
      <name val="Arial"/>
      <family val="2"/>
    </font>
    <font>
      <b/>
      <sz val="10"/>
      <color indexed="23"/>
      <name val="Arial"/>
      <family val="2"/>
    </font>
    <font>
      <b/>
      <sz val="9"/>
      <color indexed="8"/>
      <name val="Arial"/>
      <family val="2"/>
    </font>
    <font>
      <b/>
      <i/>
      <sz val="10"/>
      <color indexed="8"/>
      <name val="Arial"/>
      <family val="2"/>
    </font>
    <font>
      <b/>
      <i/>
      <sz val="10"/>
      <color indexed="2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2"/>
      <color indexed="8"/>
      <name val="Times New Roman"/>
      <family val="1"/>
    </font>
    <font>
      <sz val="14"/>
      <color indexed="8"/>
      <name val="Times New Roman"/>
      <family val="1"/>
    </font>
    <font>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medium"/>
      <right style="medium"/>
      <top style="medium"/>
      <bottom style="medium"/>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36" fillId="3" borderId="0" applyNumberFormat="0" applyBorder="0" applyAlignment="0" applyProtection="0"/>
    <xf numFmtId="0" fontId="40"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35"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8" fillId="7" borderId="1" applyNumberFormat="0" applyAlignment="0" applyProtection="0"/>
    <xf numFmtId="0" fontId="41"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45" fillId="0" borderId="9" applyNumberFormat="0" applyFill="0" applyAlignment="0" applyProtection="0"/>
    <xf numFmtId="0" fontId="43" fillId="0" borderId="0" applyNumberFormat="0" applyFill="0" applyBorder="0" applyAlignment="0" applyProtection="0"/>
  </cellStyleXfs>
  <cellXfs count="291">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4" borderId="14" xfId="0" applyFill="1" applyBorder="1" applyAlignment="1">
      <alignment/>
    </xf>
    <xf numFmtId="0" fontId="0" fillId="8" borderId="14" xfId="0" applyFill="1" applyBorder="1" applyAlignment="1">
      <alignment/>
    </xf>
    <xf numFmtId="0" fontId="0" fillId="0" borderId="14" xfId="0"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0" fillId="0" borderId="13" xfId="0" applyFill="1" applyBorder="1" applyAlignment="1">
      <alignment/>
    </xf>
    <xf numFmtId="0" fontId="0" fillId="0" borderId="10" xfId="0" applyBorder="1" applyAlignment="1">
      <alignment horizontal="right"/>
    </xf>
    <xf numFmtId="0" fontId="5" fillId="0" borderId="0" xfId="0" applyFont="1" applyAlignment="1">
      <alignment/>
    </xf>
    <xf numFmtId="0" fontId="3" fillId="0" borderId="0" xfId="53" applyAlignment="1" applyProtection="1">
      <alignment/>
      <protection/>
    </xf>
    <xf numFmtId="0" fontId="0" fillId="0" borderId="0" xfId="0" applyBorder="1" applyAlignment="1">
      <alignment/>
    </xf>
    <xf numFmtId="0" fontId="0" fillId="0" borderId="0" xfId="0" applyFill="1" applyBorder="1" applyAlignment="1">
      <alignment/>
    </xf>
    <xf numFmtId="0" fontId="2" fillId="0" borderId="17" xfId="0" applyFont="1" applyFill="1" applyBorder="1" applyAlignment="1">
      <alignment wrapText="1"/>
    </xf>
    <xf numFmtId="0" fontId="2" fillId="0" borderId="15" xfId="0" applyFont="1" applyFill="1" applyBorder="1" applyAlignment="1">
      <alignment horizontal="center" wrapText="1"/>
    </xf>
    <xf numFmtId="0" fontId="2" fillId="0" borderId="16" xfId="0" applyFont="1" applyFill="1" applyBorder="1" applyAlignment="1">
      <alignment horizontal="center" wrapText="1"/>
    </xf>
    <xf numFmtId="0" fontId="0" fillId="7" borderId="18" xfId="0" applyFill="1" applyBorder="1" applyAlignment="1">
      <alignment/>
    </xf>
    <xf numFmtId="0" fontId="0" fillId="7" borderId="19" xfId="0" applyFill="1" applyBorder="1" applyAlignment="1">
      <alignment/>
    </xf>
    <xf numFmtId="0" fontId="8" fillId="7" borderId="18" xfId="0" applyFont="1" applyFill="1" applyBorder="1" applyAlignment="1">
      <alignment/>
    </xf>
    <xf numFmtId="0" fontId="7" fillId="20" borderId="20"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6" fillId="0" borderId="0" xfId="0" applyFont="1" applyBorder="1" applyAlignment="1">
      <alignment/>
    </xf>
    <xf numFmtId="0" fontId="6" fillId="0" borderId="0" xfId="0" applyFont="1" applyBorder="1" applyAlignment="1">
      <alignment/>
    </xf>
    <xf numFmtId="0" fontId="6" fillId="0" borderId="24" xfId="0" applyFont="1" applyBorder="1" applyAlignment="1">
      <alignment/>
    </xf>
    <xf numFmtId="0" fontId="6" fillId="0" borderId="26" xfId="0" applyFont="1" applyBorder="1" applyAlignment="1">
      <alignment/>
    </xf>
    <xf numFmtId="0" fontId="10" fillId="0" borderId="0" xfId="0" applyFont="1" applyFill="1" applyBorder="1" applyAlignment="1">
      <alignment/>
    </xf>
    <xf numFmtId="0" fontId="0" fillId="4" borderId="0" xfId="0" applyFill="1" applyBorder="1" applyAlignment="1">
      <alignment/>
    </xf>
    <xf numFmtId="0" fontId="0" fillId="8" borderId="0" xfId="0" applyFill="1" applyBorder="1" applyAlignment="1">
      <alignment/>
    </xf>
    <xf numFmtId="0" fontId="1" fillId="0" borderId="0" xfId="0" applyFont="1" applyBorder="1" applyAlignment="1">
      <alignment/>
    </xf>
    <xf numFmtId="0" fontId="2" fillId="0" borderId="16" xfId="0" applyFont="1" applyFill="1" applyBorder="1" applyAlignment="1">
      <alignment wrapText="1"/>
    </xf>
    <xf numFmtId="0" fontId="1" fillId="0" borderId="0" xfId="0" applyFont="1" applyAlignment="1">
      <alignment/>
    </xf>
    <xf numFmtId="0" fontId="2" fillId="0" borderId="17" xfId="0" applyFont="1" applyBorder="1" applyAlignment="1">
      <alignment/>
    </xf>
    <xf numFmtId="0" fontId="1" fillId="0" borderId="0" xfId="0" applyFont="1" applyFill="1" applyBorder="1" applyAlignment="1">
      <alignment/>
    </xf>
    <xf numFmtId="0" fontId="12" fillId="7" borderId="29" xfId="0" applyFont="1" applyFill="1" applyBorder="1" applyAlignment="1">
      <alignment/>
    </xf>
    <xf numFmtId="0" fontId="0" fillId="7" borderId="30" xfId="0" applyFill="1" applyBorder="1" applyAlignment="1">
      <alignment/>
    </xf>
    <xf numFmtId="0" fontId="8" fillId="7" borderId="31" xfId="0" applyFont="1" applyFill="1" applyBorder="1" applyAlignment="1">
      <alignment/>
    </xf>
    <xf numFmtId="0" fontId="0" fillId="0" borderId="14" xfId="0" applyBorder="1" applyAlignment="1">
      <alignment/>
    </xf>
    <xf numFmtId="0" fontId="0" fillId="0" borderId="32" xfId="0" applyBorder="1" applyAlignment="1">
      <alignment/>
    </xf>
    <xf numFmtId="0" fontId="13" fillId="15" borderId="29" xfId="0" applyFont="1" applyFill="1" applyBorder="1" applyAlignment="1">
      <alignment horizontal="left"/>
    </xf>
    <xf numFmtId="0" fontId="10" fillId="15" borderId="31" xfId="0" applyFont="1" applyFill="1" applyBorder="1" applyAlignment="1">
      <alignment horizontal="left"/>
    </xf>
    <xf numFmtId="0" fontId="10" fillId="15" borderId="30" xfId="0" applyFont="1" applyFill="1" applyBorder="1" applyAlignment="1">
      <alignment horizontal="left"/>
    </xf>
    <xf numFmtId="0" fontId="10" fillId="0" borderId="0" xfId="0" applyFont="1" applyFill="1" applyAlignment="1">
      <alignment horizontal="left"/>
    </xf>
    <xf numFmtId="0" fontId="0" fillId="0" borderId="0" xfId="0" applyFill="1" applyAlignment="1">
      <alignment horizontal="left"/>
    </xf>
    <xf numFmtId="0" fontId="10" fillId="0" borderId="0" xfId="0" applyFont="1" applyFill="1" applyBorder="1" applyAlignment="1">
      <alignment horizontal="left"/>
    </xf>
    <xf numFmtId="0" fontId="0" fillId="0" borderId="24" xfId="0" applyFont="1" applyBorder="1" applyAlignment="1">
      <alignment/>
    </xf>
    <xf numFmtId="0" fontId="0" fillId="0" borderId="24" xfId="0" applyFont="1" applyBorder="1" applyAlignment="1">
      <alignment/>
    </xf>
    <xf numFmtId="0" fontId="0" fillId="0" borderId="26" xfId="0" applyFont="1" applyBorder="1" applyAlignment="1">
      <alignment/>
    </xf>
    <xf numFmtId="0" fontId="0" fillId="4" borderId="24" xfId="0" applyFill="1" applyBorder="1" applyAlignment="1">
      <alignment/>
    </xf>
    <xf numFmtId="0" fontId="0" fillId="8" borderId="24" xfId="0" applyFill="1" applyBorder="1" applyAlignment="1">
      <alignment/>
    </xf>
    <xf numFmtId="0" fontId="0" fillId="8" borderId="10" xfId="0" applyFill="1" applyBorder="1" applyAlignment="1">
      <alignment/>
    </xf>
    <xf numFmtId="0" fontId="14" fillId="0" borderId="0" xfId="0" applyFont="1" applyAlignment="1">
      <alignment/>
    </xf>
    <xf numFmtId="0" fontId="0" fillId="0" borderId="0" xfId="0" applyFill="1" applyAlignment="1">
      <alignment/>
    </xf>
    <xf numFmtId="0" fontId="0" fillId="0" borderId="0" xfId="0" applyAlignment="1">
      <alignment horizontal="left"/>
    </xf>
    <xf numFmtId="0" fontId="2" fillId="0" borderId="0" xfId="0" applyFont="1" applyAlignment="1">
      <alignment wrapText="1"/>
    </xf>
    <xf numFmtId="0" fontId="2" fillId="0" borderId="0" xfId="0" applyFont="1" applyAlignment="1">
      <alignment horizontal="left"/>
    </xf>
    <xf numFmtId="175" fontId="0" fillId="0" borderId="11" xfId="0" applyNumberFormat="1" applyFill="1" applyBorder="1" applyAlignment="1">
      <alignment/>
    </xf>
    <xf numFmtId="0" fontId="0" fillId="0" borderId="12" xfId="0" applyBorder="1" applyAlignment="1">
      <alignment horizontal="center"/>
    </xf>
    <xf numFmtId="0" fontId="0" fillId="4" borderId="10" xfId="0" applyFill="1" applyBorder="1" applyAlignment="1">
      <alignment/>
    </xf>
    <xf numFmtId="0" fontId="2" fillId="0" borderId="13" xfId="0" applyFont="1" applyBorder="1" applyAlignment="1">
      <alignment horizontal="center"/>
    </xf>
    <xf numFmtId="9" fontId="0" fillId="4" borderId="10" xfId="59" applyFill="1" applyBorder="1" applyAlignment="1">
      <alignment horizontal="right"/>
    </xf>
    <xf numFmtId="0" fontId="0" fillId="8" borderId="10" xfId="0" applyFill="1" applyBorder="1" applyAlignment="1">
      <alignment horizontal="right"/>
    </xf>
    <xf numFmtId="0" fontId="2" fillId="8" borderId="11" xfId="0" applyFont="1" applyFill="1" applyBorder="1" applyAlignment="1">
      <alignment horizontal="right"/>
    </xf>
    <xf numFmtId="0" fontId="0" fillId="0" borderId="12" xfId="0" applyBorder="1" applyAlignment="1">
      <alignment horizontal="center" wrapText="1"/>
    </xf>
    <xf numFmtId="3" fontId="0" fillId="8" borderId="10" xfId="0" applyNumberFormat="1" applyFill="1" applyBorder="1" applyAlignment="1">
      <alignment horizontal="right"/>
    </xf>
    <xf numFmtId="0" fontId="2" fillId="0" borderId="0" xfId="0" applyFont="1" applyBorder="1" applyAlignment="1">
      <alignment horizontal="center"/>
    </xf>
    <xf numFmtId="0" fontId="0" fillId="0" borderId="14" xfId="0" applyBorder="1" applyAlignment="1">
      <alignment horizontal="right"/>
    </xf>
    <xf numFmtId="0" fontId="0" fillId="0" borderId="16" xfId="0" applyBorder="1" applyAlignment="1">
      <alignment/>
    </xf>
    <xf numFmtId="0" fontId="15" fillId="0" borderId="0" xfId="0" applyFont="1" applyAlignment="1">
      <alignment/>
    </xf>
    <xf numFmtId="0" fontId="0" fillId="0" borderId="14" xfId="0" applyFont="1" applyFill="1" applyBorder="1" applyAlignment="1">
      <alignment vertical="top" wrapText="1"/>
    </xf>
    <xf numFmtId="0" fontId="0" fillId="0" borderId="17" xfId="0" applyFont="1" applyFill="1" applyBorder="1" applyAlignment="1">
      <alignment/>
    </xf>
    <xf numFmtId="0" fontId="1" fillId="0" borderId="15" xfId="0" applyFont="1" applyBorder="1" applyAlignment="1">
      <alignment/>
    </xf>
    <xf numFmtId="0" fontId="0" fillId="0" borderId="15" xfId="0" applyBorder="1" applyAlignment="1">
      <alignment/>
    </xf>
    <xf numFmtId="0" fontId="0" fillId="0" borderId="12" xfId="0" applyFont="1" applyFill="1" applyBorder="1" applyAlignment="1">
      <alignment/>
    </xf>
    <xf numFmtId="0" fontId="0" fillId="0" borderId="10" xfId="0" applyFont="1" applyFill="1" applyBorder="1" applyAlignment="1">
      <alignment horizontal="left" vertical="top" wrapText="1"/>
    </xf>
    <xf numFmtId="0" fontId="0" fillId="0" borderId="13" xfId="0" applyFont="1" applyFill="1" applyBorder="1" applyAlignment="1">
      <alignment/>
    </xf>
    <xf numFmtId="0" fontId="0" fillId="0" borderId="11" xfId="0" applyFont="1" applyFill="1" applyBorder="1" applyAlignment="1">
      <alignment horizontal="left" vertical="top" wrapText="1"/>
    </xf>
    <xf numFmtId="0" fontId="0" fillId="0" borderId="13" xfId="0" applyBorder="1" applyAlignment="1">
      <alignment horizontal="center" wrapText="1"/>
    </xf>
    <xf numFmtId="177" fontId="2" fillId="8" borderId="11" xfId="0" applyNumberFormat="1" applyFont="1" applyFill="1" applyBorder="1" applyAlignment="1">
      <alignment/>
    </xf>
    <xf numFmtId="0" fontId="2" fillId="0" borderId="17" xfId="0" applyFont="1" applyBorder="1" applyAlignment="1">
      <alignment horizontal="center"/>
    </xf>
    <xf numFmtId="177" fontId="2" fillId="8" borderId="32" xfId="0" applyNumberFormat="1" applyFont="1" applyFill="1" applyBorder="1" applyAlignment="1">
      <alignment/>
    </xf>
    <xf numFmtId="0" fontId="0" fillId="4" borderId="14" xfId="0" applyFill="1" applyBorder="1" applyAlignment="1">
      <alignment horizontal="right"/>
    </xf>
    <xf numFmtId="3" fontId="0" fillId="8" borderId="14" xfId="0" applyNumberFormat="1" applyFill="1" applyBorder="1" applyAlignment="1">
      <alignment horizontal="right"/>
    </xf>
    <xf numFmtId="9" fontId="0" fillId="4" borderId="14" xfId="59" applyFill="1" applyBorder="1" applyAlignment="1">
      <alignment horizontal="right"/>
    </xf>
    <xf numFmtId="0" fontId="0" fillId="8" borderId="14" xfId="0" applyFill="1" applyBorder="1" applyAlignment="1">
      <alignment horizontal="right"/>
    </xf>
    <xf numFmtId="0" fontId="0" fillId="4" borderId="10" xfId="0" applyFill="1" applyBorder="1" applyAlignment="1">
      <alignment horizontal="right"/>
    </xf>
    <xf numFmtId="0" fontId="2" fillId="8" borderId="32" xfId="0" applyFont="1" applyFill="1" applyBorder="1" applyAlignment="1">
      <alignment horizontal="right"/>
    </xf>
    <xf numFmtId="0" fontId="0" fillId="0" borderId="15" xfId="0" applyBorder="1" applyAlignment="1">
      <alignment horizontal="center"/>
    </xf>
    <xf numFmtId="0" fontId="0" fillId="0" borderId="16" xfId="0" applyBorder="1" applyAlignment="1">
      <alignment horizontal="center"/>
    </xf>
    <xf numFmtId="0" fontId="8" fillId="7" borderId="31" xfId="0" applyFont="1" applyFill="1" applyBorder="1" applyAlignment="1">
      <alignment horizontal="center"/>
    </xf>
    <xf numFmtId="0" fontId="0" fillId="7" borderId="31" xfId="0" applyFill="1" applyBorder="1" applyAlignment="1">
      <alignment/>
    </xf>
    <xf numFmtId="0" fontId="0" fillId="0" borderId="33" xfId="0" applyBorder="1" applyAlignment="1">
      <alignment horizontal="center"/>
    </xf>
    <xf numFmtId="0" fontId="0" fillId="8" borderId="34" xfId="0" applyFill="1" applyBorder="1" applyAlignment="1">
      <alignment/>
    </xf>
    <xf numFmtId="0" fontId="0" fillId="8" borderId="35" xfId="0" applyFill="1" applyBorder="1" applyAlignment="1">
      <alignment/>
    </xf>
    <xf numFmtId="0" fontId="17" fillId="0" borderId="0" xfId="0" applyFont="1" applyAlignment="1">
      <alignment horizontal="right"/>
    </xf>
    <xf numFmtId="0" fontId="18" fillId="0" borderId="0" xfId="0" applyFont="1" applyAlignment="1">
      <alignment/>
    </xf>
    <xf numFmtId="0" fontId="0" fillId="8" borderId="34" xfId="0" applyFill="1" applyBorder="1" applyAlignment="1">
      <alignment horizontal="right"/>
    </xf>
    <xf numFmtId="0" fontId="0" fillId="8" borderId="35" xfId="0" applyFill="1" applyBorder="1" applyAlignment="1">
      <alignment horizontal="right"/>
    </xf>
    <xf numFmtId="2" fontId="2" fillId="8" borderId="32" xfId="0" applyNumberFormat="1" applyFont="1" applyFill="1" applyBorder="1" applyAlignment="1">
      <alignment/>
    </xf>
    <xf numFmtId="2" fontId="2" fillId="8" borderId="11" xfId="0" applyNumberFormat="1" applyFont="1" applyFill="1" applyBorder="1" applyAlignment="1">
      <alignment/>
    </xf>
    <xf numFmtId="1" fontId="0" fillId="8" borderId="10" xfId="0" applyNumberFormat="1" applyFill="1" applyBorder="1" applyAlignment="1">
      <alignment horizontal="center"/>
    </xf>
    <xf numFmtId="1" fontId="2" fillId="8" borderId="11" xfId="0" applyNumberFormat="1" applyFont="1" applyFill="1" applyBorder="1" applyAlignment="1">
      <alignment horizontal="center"/>
    </xf>
    <xf numFmtId="0" fontId="12" fillId="7" borderId="31" xfId="0" applyFont="1" applyFill="1" applyBorder="1" applyAlignment="1">
      <alignment/>
    </xf>
    <xf numFmtId="0" fontId="12" fillId="7" borderId="31" xfId="0" applyFont="1" applyFill="1" applyBorder="1" applyAlignment="1">
      <alignment horizontal="right"/>
    </xf>
    <xf numFmtId="0" fontId="0" fillId="4" borderId="11" xfId="0" applyFill="1" applyBorder="1" applyAlignment="1">
      <alignment/>
    </xf>
    <xf numFmtId="1" fontId="0" fillId="8" borderId="14" xfId="0" applyNumberFormat="1" applyFill="1" applyBorder="1" applyAlignment="1">
      <alignment horizontal="center"/>
    </xf>
    <xf numFmtId="0" fontId="2" fillId="7" borderId="14" xfId="0" applyFont="1" applyFill="1" applyBorder="1" applyAlignment="1">
      <alignment horizontal="right"/>
    </xf>
    <xf numFmtId="3" fontId="0" fillId="4" borderId="16" xfId="0" applyNumberFormat="1" applyFill="1" applyBorder="1" applyAlignment="1">
      <alignment/>
    </xf>
    <xf numFmtId="3" fontId="0" fillId="4" borderId="10" xfId="0" applyNumberFormat="1" applyFill="1" applyBorder="1" applyAlignment="1">
      <alignment/>
    </xf>
    <xf numFmtId="1" fontId="2" fillId="8" borderId="10" xfId="0" applyNumberFormat="1" applyFont="1" applyFill="1" applyBorder="1" applyAlignment="1">
      <alignment horizontal="center"/>
    </xf>
    <xf numFmtId="0" fontId="14" fillId="0" borderId="0" xfId="0" applyFont="1" applyAlignment="1">
      <alignment wrapText="1"/>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wrapText="1"/>
    </xf>
    <xf numFmtId="0" fontId="0" fillId="0" borderId="39" xfId="0" applyBorder="1" applyAlignment="1">
      <alignment horizontal="center" wrapText="1"/>
    </xf>
    <xf numFmtId="0" fontId="0" fillId="0" borderId="37" xfId="0" applyFill="1" applyBorder="1" applyAlignment="1">
      <alignment horizontal="center" wrapText="1"/>
    </xf>
    <xf numFmtId="1" fontId="0" fillId="8" borderId="32" xfId="0" applyNumberFormat="1" applyFill="1" applyBorder="1" applyAlignment="1">
      <alignment horizontal="center"/>
    </xf>
    <xf numFmtId="0" fontId="0" fillId="0" borderId="17" xfId="0" applyBorder="1" applyAlignment="1">
      <alignment/>
    </xf>
    <xf numFmtId="0" fontId="18" fillId="0" borderId="0" xfId="0" applyFont="1" applyAlignment="1">
      <alignment wrapText="1"/>
    </xf>
    <xf numFmtId="0" fontId="0" fillId="4" borderId="14" xfId="0" applyFill="1" applyBorder="1" applyAlignment="1">
      <alignment wrapText="1"/>
    </xf>
    <xf numFmtId="0" fontId="0" fillId="4" borderId="10" xfId="0" applyFill="1" applyBorder="1" applyAlignment="1">
      <alignment wrapText="1"/>
    </xf>
    <xf numFmtId="0" fontId="0" fillId="4" borderId="14" xfId="0" applyFill="1" applyBorder="1" applyAlignment="1">
      <alignment horizontal="center"/>
    </xf>
    <xf numFmtId="0" fontId="0" fillId="4" borderId="10" xfId="0" applyFill="1" applyBorder="1" applyAlignment="1">
      <alignment horizontal="center"/>
    </xf>
    <xf numFmtId="1" fontId="2" fillId="8" borderId="32" xfId="0" applyNumberFormat="1" applyFont="1" applyFill="1" applyBorder="1" applyAlignment="1">
      <alignment horizontal="center"/>
    </xf>
    <xf numFmtId="0" fontId="0" fillId="0" borderId="17" xfId="0" applyBorder="1" applyAlignment="1">
      <alignment horizontal="center"/>
    </xf>
    <xf numFmtId="0" fontId="0" fillId="0" borderId="40" xfId="0" applyBorder="1" applyAlignment="1">
      <alignment horizontal="center" wrapText="1"/>
    </xf>
    <xf numFmtId="0" fontId="0" fillId="0" borderId="41" xfId="0" applyBorder="1" applyAlignment="1">
      <alignment horizontal="center" wrapText="1"/>
    </xf>
    <xf numFmtId="0" fontId="0" fillId="0" borderId="33" xfId="0" applyBorder="1" applyAlignment="1">
      <alignment horizontal="center" wrapText="1"/>
    </xf>
    <xf numFmtId="0" fontId="0" fillId="0" borderId="32" xfId="0" applyFill="1" applyBorder="1" applyAlignment="1">
      <alignment/>
    </xf>
    <xf numFmtId="0" fontId="0" fillId="0" borderId="34" xfId="0" applyBorder="1" applyAlignment="1">
      <alignment horizontal="center" wrapText="1"/>
    </xf>
    <xf numFmtId="0" fontId="0" fillId="0" borderId="35" xfId="0" applyBorder="1" applyAlignment="1">
      <alignment horizontal="center" wrapText="1"/>
    </xf>
    <xf numFmtId="0" fontId="0" fillId="0" borderId="42" xfId="0" applyBorder="1" applyAlignment="1">
      <alignment horizontal="center" wrapText="1"/>
    </xf>
    <xf numFmtId="0" fontId="0" fillId="0" borderId="43" xfId="0" applyFill="1" applyBorder="1" applyAlignment="1">
      <alignment horizontal="center" wrapText="1"/>
    </xf>
    <xf numFmtId="0" fontId="0" fillId="8" borderId="14" xfId="0" applyFill="1" applyBorder="1" applyAlignment="1">
      <alignment horizontal="center"/>
    </xf>
    <xf numFmtId="3" fontId="0" fillId="8" borderId="14" xfId="0" applyNumberFormat="1" applyFill="1" applyBorder="1" applyAlignment="1">
      <alignment horizontal="center"/>
    </xf>
    <xf numFmtId="0" fontId="0" fillId="8" borderId="15" xfId="0" applyFill="1" applyBorder="1" applyAlignment="1">
      <alignment horizontal="center"/>
    </xf>
    <xf numFmtId="1" fontId="0" fillId="8" borderId="15" xfId="0" applyNumberFormat="1" applyFill="1" applyBorder="1" applyAlignment="1">
      <alignment horizontal="center"/>
    </xf>
    <xf numFmtId="3" fontId="0" fillId="8" borderId="15" xfId="0" applyNumberFormat="1" applyFill="1" applyBorder="1" applyAlignment="1">
      <alignment horizontal="center"/>
    </xf>
    <xf numFmtId="179" fontId="2" fillId="8" borderId="16" xfId="0" applyNumberFormat="1" applyFont="1" applyFill="1" applyBorder="1" applyAlignment="1">
      <alignment horizontal="center"/>
    </xf>
    <xf numFmtId="179" fontId="2" fillId="8" borderId="10" xfId="0" applyNumberFormat="1" applyFont="1" applyFill="1" applyBorder="1" applyAlignment="1">
      <alignment horizontal="center"/>
    </xf>
    <xf numFmtId="179" fontId="2" fillId="8" borderId="11" xfId="0" applyNumberFormat="1" applyFont="1" applyFill="1" applyBorder="1" applyAlignment="1">
      <alignment horizontal="center"/>
    </xf>
    <xf numFmtId="0" fontId="0" fillId="8" borderId="32" xfId="0" applyFill="1" applyBorder="1" applyAlignment="1">
      <alignment horizontal="center"/>
    </xf>
    <xf numFmtId="3" fontId="0" fillId="8" borderId="32" xfId="0" applyNumberFormat="1" applyFill="1" applyBorder="1" applyAlignment="1">
      <alignment horizontal="center"/>
    </xf>
    <xf numFmtId="0" fontId="0" fillId="0" borderId="14" xfId="0" applyFill="1" applyBorder="1" applyAlignment="1">
      <alignment/>
    </xf>
    <xf numFmtId="2" fontId="2" fillId="8" borderId="0" xfId="0" applyNumberFormat="1" applyFont="1" applyFill="1" applyBorder="1" applyAlignment="1">
      <alignment/>
    </xf>
    <xf numFmtId="0" fontId="0" fillId="0" borderId="0" xfId="0" applyFont="1" applyFill="1" applyBorder="1" applyAlignment="1">
      <alignment vertical="top" wrapText="1"/>
    </xf>
    <xf numFmtId="0" fontId="0" fillId="0" borderId="44" xfId="0" applyBorder="1" applyAlignment="1">
      <alignment horizontal="center"/>
    </xf>
    <xf numFmtId="0" fontId="2" fillId="8" borderId="11" xfId="0" applyFont="1" applyFill="1" applyBorder="1" applyAlignment="1">
      <alignment/>
    </xf>
    <xf numFmtId="2" fontId="0" fillId="8" borderId="45" xfId="0" applyNumberFormat="1" applyFill="1" applyBorder="1" applyAlignment="1">
      <alignment/>
    </xf>
    <xf numFmtId="0" fontId="19" fillId="0" borderId="0" xfId="0" applyFont="1" applyAlignment="1">
      <alignment horizontal="left"/>
    </xf>
    <xf numFmtId="0" fontId="20" fillId="0" borderId="0" xfId="0" applyNumberFormat="1" applyFont="1" applyAlignment="1">
      <alignment/>
    </xf>
    <xf numFmtId="0" fontId="20" fillId="0" borderId="0" xfId="0" applyFont="1" applyAlignment="1">
      <alignment/>
    </xf>
    <xf numFmtId="2" fontId="2" fillId="0" borderId="0" xfId="0" applyNumberFormat="1" applyFont="1" applyFill="1" applyBorder="1" applyAlignment="1">
      <alignment/>
    </xf>
    <xf numFmtId="0" fontId="9" fillId="0" borderId="0" xfId="0" applyFont="1" applyAlignment="1">
      <alignment/>
    </xf>
    <xf numFmtId="0" fontId="21" fillId="0" borderId="0" xfId="0" applyFont="1" applyAlignment="1">
      <alignment/>
    </xf>
    <xf numFmtId="0" fontId="21" fillId="0" borderId="0" xfId="0" applyFont="1" applyBorder="1" applyAlignment="1">
      <alignment horizontal="left"/>
    </xf>
    <xf numFmtId="0" fontId="0" fillId="0" borderId="46" xfId="0" applyFont="1" applyBorder="1" applyAlignment="1">
      <alignment horizontal="center" wrapText="1"/>
    </xf>
    <xf numFmtId="0" fontId="2" fillId="0" borderId="24" xfId="0" applyFont="1" applyBorder="1" applyAlignment="1">
      <alignment/>
    </xf>
    <xf numFmtId="0" fontId="12" fillId="7" borderId="29" xfId="0" applyFont="1" applyFill="1" applyBorder="1" applyAlignment="1">
      <alignment horizontal="left"/>
    </xf>
    <xf numFmtId="0" fontId="0" fillId="0" borderId="14" xfId="0" applyBorder="1" applyAlignment="1">
      <alignment horizontal="center"/>
    </xf>
    <xf numFmtId="0" fontId="0" fillId="0" borderId="14" xfId="0" applyFont="1"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11" xfId="0" applyBorder="1" applyAlignment="1">
      <alignment horizontal="center"/>
    </xf>
    <xf numFmtId="0" fontId="2" fillId="0" borderId="17" xfId="0" applyFont="1" applyBorder="1" applyAlignment="1">
      <alignment wrapText="1"/>
    </xf>
    <xf numFmtId="0" fontId="2" fillId="0" borderId="15"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wrapText="1"/>
    </xf>
    <xf numFmtId="0" fontId="2" fillId="0" borderId="12" xfId="0" applyFont="1" applyBorder="1" applyAlignment="1">
      <alignment horizontal="center" wrapText="1"/>
    </xf>
    <xf numFmtId="0" fontId="24" fillId="0" borderId="12" xfId="0" applyFont="1" applyBorder="1" applyAlignment="1">
      <alignment horizontal="center"/>
    </xf>
    <xf numFmtId="0" fontId="24" fillId="0" borderId="12" xfId="0" applyFont="1" applyBorder="1" applyAlignment="1">
      <alignment horizontal="center" wrapText="1"/>
    </xf>
    <xf numFmtId="0" fontId="7" fillId="7" borderId="18" xfId="0" applyFont="1" applyFill="1" applyBorder="1" applyAlignment="1">
      <alignment/>
    </xf>
    <xf numFmtId="1" fontId="2" fillId="8" borderId="14" xfId="0" applyNumberFormat="1" applyFont="1" applyFill="1" applyBorder="1" applyAlignment="1">
      <alignment horizontal="center"/>
    </xf>
    <xf numFmtId="0" fontId="0" fillId="0" borderId="17" xfId="0" applyBorder="1" applyAlignment="1">
      <alignment horizontal="center" wrapText="1"/>
    </xf>
    <xf numFmtId="0" fontId="0" fillId="0" borderId="15" xfId="0" applyBorder="1" applyAlignment="1">
      <alignment wrapText="1"/>
    </xf>
    <xf numFmtId="0" fontId="25" fillId="0" borderId="0" xfId="0" applyFont="1" applyAlignment="1">
      <alignment/>
    </xf>
    <xf numFmtId="0" fontId="2" fillId="0" borderId="47" xfId="0" applyFont="1" applyBorder="1" applyAlignment="1">
      <alignment horizontal="left" wrapText="1"/>
    </xf>
    <xf numFmtId="0" fontId="26" fillId="0" borderId="47" xfId="0" applyFont="1" applyBorder="1" applyAlignment="1">
      <alignment horizontal="left" wrapText="1"/>
    </xf>
    <xf numFmtId="0" fontId="0" fillId="0" borderId="21" xfId="0" applyFont="1" applyBorder="1" applyAlignment="1">
      <alignment/>
    </xf>
    <xf numFmtId="0" fontId="23" fillId="0" borderId="24" xfId="0" applyFont="1" applyBorder="1" applyAlignment="1">
      <alignment/>
    </xf>
    <xf numFmtId="0" fontId="8" fillId="0" borderId="18" xfId="0" applyFont="1" applyFill="1" applyBorder="1" applyAlignment="1">
      <alignment/>
    </xf>
    <xf numFmtId="0" fontId="7" fillId="7" borderId="20" xfId="0" applyFont="1" applyFill="1" applyBorder="1" applyAlignment="1">
      <alignment wrapText="1"/>
    </xf>
    <xf numFmtId="0" fontId="0" fillId="8" borderId="14" xfId="0" applyFont="1" applyFill="1" applyBorder="1" applyAlignment="1">
      <alignment horizontal="center"/>
    </xf>
    <xf numFmtId="0" fontId="0" fillId="8" borderId="10" xfId="0" applyFont="1" applyFill="1" applyBorder="1" applyAlignment="1">
      <alignment horizontal="center"/>
    </xf>
    <xf numFmtId="1" fontId="0" fillId="8" borderId="14" xfId="0" applyNumberFormat="1" applyFont="1" applyFill="1" applyBorder="1" applyAlignment="1">
      <alignment horizontal="center"/>
    </xf>
    <xf numFmtId="1" fontId="0" fillId="8" borderId="10" xfId="0" applyNumberFormat="1" applyFont="1" applyFill="1" applyBorder="1" applyAlignment="1">
      <alignment horizontal="center"/>
    </xf>
    <xf numFmtId="0" fontId="0" fillId="8" borderId="14" xfId="0" applyFont="1" applyFill="1" applyBorder="1" applyAlignment="1">
      <alignment horizontal="center" wrapText="1"/>
    </xf>
    <xf numFmtId="0" fontId="0" fillId="8" borderId="10" xfId="0" applyFont="1" applyFill="1" applyBorder="1" applyAlignment="1">
      <alignment horizontal="center" wrapText="1"/>
    </xf>
    <xf numFmtId="0" fontId="2" fillId="0" borderId="33" xfId="0" applyFont="1" applyBorder="1" applyAlignment="1">
      <alignment/>
    </xf>
    <xf numFmtId="0" fontId="2" fillId="0" borderId="34" xfId="0" applyFont="1" applyBorder="1" applyAlignment="1">
      <alignment horizontal="left"/>
    </xf>
    <xf numFmtId="0" fontId="2" fillId="0" borderId="34" xfId="0" applyFont="1" applyBorder="1" applyAlignment="1">
      <alignment wrapText="1"/>
    </xf>
    <xf numFmtId="0" fontId="2" fillId="0" borderId="35" xfId="0" applyFont="1" applyBorder="1" applyAlignment="1">
      <alignment wrapText="1"/>
    </xf>
    <xf numFmtId="0" fontId="2" fillId="7" borderId="48" xfId="0" applyFont="1" applyFill="1" applyBorder="1" applyAlignment="1">
      <alignment horizontal="right"/>
    </xf>
    <xf numFmtId="1" fontId="0" fillId="8" borderId="48" xfId="0" applyNumberFormat="1" applyFont="1" applyFill="1" applyBorder="1" applyAlignment="1">
      <alignment horizontal="center"/>
    </xf>
    <xf numFmtId="1" fontId="0" fillId="8" borderId="49" xfId="0" applyNumberFormat="1" applyFont="1" applyFill="1" applyBorder="1" applyAlignment="1">
      <alignment horizontal="center"/>
    </xf>
    <xf numFmtId="0" fontId="0" fillId="8" borderId="16" xfId="0" applyFont="1" applyFill="1" applyBorder="1" applyAlignment="1">
      <alignment horizontal="center" wrapText="1"/>
    </xf>
    <xf numFmtId="0" fontId="0" fillId="8" borderId="32" xfId="0" applyFont="1" applyFill="1" applyBorder="1" applyAlignment="1">
      <alignment horizontal="center" wrapText="1"/>
    </xf>
    <xf numFmtId="0" fontId="0" fillId="8" borderId="11" xfId="0" applyFont="1" applyFill="1" applyBorder="1" applyAlignment="1">
      <alignment horizontal="center" wrapText="1"/>
    </xf>
    <xf numFmtId="0" fontId="0" fillId="8" borderId="15" xfId="0" applyFont="1" applyFill="1" applyBorder="1" applyAlignment="1">
      <alignment horizontal="center"/>
    </xf>
    <xf numFmtId="0" fontId="0" fillId="8" borderId="16" xfId="0" applyFont="1" applyFill="1" applyBorder="1" applyAlignment="1">
      <alignment horizontal="center"/>
    </xf>
    <xf numFmtId="0" fontId="0" fillId="8" borderId="32" xfId="0" applyFont="1" applyFill="1" applyBorder="1" applyAlignment="1">
      <alignment horizontal="center"/>
    </xf>
    <xf numFmtId="0" fontId="0" fillId="8" borderId="11" xfId="0" applyFont="1" applyFill="1" applyBorder="1" applyAlignment="1">
      <alignment horizontal="center"/>
    </xf>
    <xf numFmtId="1" fontId="0" fillId="8" borderId="48" xfId="0" applyNumberFormat="1" applyFill="1" applyBorder="1" applyAlignment="1">
      <alignment horizontal="center"/>
    </xf>
    <xf numFmtId="1" fontId="0" fillId="8" borderId="49" xfId="0" applyNumberFormat="1" applyFill="1" applyBorder="1" applyAlignment="1">
      <alignment horizontal="center"/>
    </xf>
    <xf numFmtId="0" fontId="28" fillId="7" borderId="17" xfId="0" applyFont="1" applyFill="1" applyBorder="1" applyAlignment="1">
      <alignment horizontal="center"/>
    </xf>
    <xf numFmtId="0" fontId="28" fillId="7" borderId="12" xfId="0" applyFont="1" applyFill="1" applyBorder="1" applyAlignment="1">
      <alignment horizontal="center"/>
    </xf>
    <xf numFmtId="0" fontId="28" fillId="7" borderId="13" xfId="0" applyFont="1" applyFill="1" applyBorder="1" applyAlignment="1">
      <alignment horizontal="center"/>
    </xf>
    <xf numFmtId="0" fontId="2" fillId="20" borderId="15" xfId="0" applyFont="1" applyFill="1" applyBorder="1" applyAlignment="1">
      <alignment horizontal="right" wrapText="1"/>
    </xf>
    <xf numFmtId="0" fontId="2" fillId="20" borderId="14" xfId="0" applyFont="1" applyFill="1" applyBorder="1" applyAlignment="1">
      <alignment horizontal="right" wrapText="1"/>
    </xf>
    <xf numFmtId="0" fontId="2" fillId="20" borderId="32" xfId="0" applyFont="1" applyFill="1" applyBorder="1" applyAlignment="1">
      <alignment horizontal="right" wrapText="1"/>
    </xf>
    <xf numFmtId="0" fontId="28" fillId="20" borderId="17" xfId="0" applyFont="1" applyFill="1" applyBorder="1" applyAlignment="1">
      <alignment horizontal="center"/>
    </xf>
    <xf numFmtId="0" fontId="28" fillId="20" borderId="12" xfId="0" applyFont="1" applyFill="1" applyBorder="1" applyAlignment="1">
      <alignment horizontal="center"/>
    </xf>
    <xf numFmtId="0" fontId="26" fillId="20" borderId="17" xfId="0" applyFont="1" applyFill="1" applyBorder="1" applyAlignment="1">
      <alignment horizontal="center"/>
    </xf>
    <xf numFmtId="0" fontId="26" fillId="20" borderId="12" xfId="0" applyFont="1" applyFill="1" applyBorder="1" applyAlignment="1">
      <alignment horizontal="center"/>
    </xf>
    <xf numFmtId="0" fontId="2" fillId="20" borderId="15" xfId="0" applyFont="1" applyFill="1" applyBorder="1" applyAlignment="1">
      <alignment horizontal="right"/>
    </xf>
    <xf numFmtId="0" fontId="2" fillId="20" borderId="14" xfId="0" applyFont="1" applyFill="1" applyBorder="1" applyAlignment="1">
      <alignment horizontal="right"/>
    </xf>
    <xf numFmtId="0" fontId="2" fillId="20" borderId="32" xfId="0" applyFont="1" applyFill="1" applyBorder="1" applyAlignment="1">
      <alignment horizontal="right"/>
    </xf>
    <xf numFmtId="0" fontId="26" fillId="7" borderId="12" xfId="0" applyFont="1" applyFill="1" applyBorder="1" applyAlignment="1">
      <alignment horizontal="center"/>
    </xf>
    <xf numFmtId="0" fontId="26" fillId="7" borderId="13" xfId="0" applyFont="1" applyFill="1" applyBorder="1" applyAlignment="1">
      <alignment horizontal="center"/>
    </xf>
    <xf numFmtId="0" fontId="8" fillId="20" borderId="19" xfId="0" applyFont="1" applyFill="1" applyBorder="1" applyAlignment="1">
      <alignment/>
    </xf>
    <xf numFmtId="0" fontId="7" fillId="24" borderId="20" xfId="0" applyFont="1" applyFill="1" applyBorder="1" applyAlignment="1">
      <alignment/>
    </xf>
    <xf numFmtId="0" fontId="7" fillId="24" borderId="18" xfId="0" applyFont="1" applyFill="1" applyBorder="1" applyAlignment="1">
      <alignment/>
    </xf>
    <xf numFmtId="0" fontId="8" fillId="24" borderId="19" xfId="0" applyFont="1" applyFill="1" applyBorder="1" applyAlignment="1">
      <alignment/>
    </xf>
    <xf numFmtId="0" fontId="7" fillId="4" borderId="20" xfId="0" applyFont="1" applyFill="1" applyBorder="1" applyAlignment="1">
      <alignment/>
    </xf>
    <xf numFmtId="0" fontId="7" fillId="4" borderId="18" xfId="0" applyFont="1" applyFill="1" applyBorder="1" applyAlignment="1">
      <alignment/>
    </xf>
    <xf numFmtId="0" fontId="0" fillId="4" borderId="19" xfId="0" applyFill="1" applyBorder="1" applyAlignment="1">
      <alignment/>
    </xf>
    <xf numFmtId="0" fontId="26" fillId="20" borderId="24" xfId="0" applyFont="1" applyFill="1" applyBorder="1" applyAlignment="1">
      <alignment/>
    </xf>
    <xf numFmtId="0" fontId="22" fillId="20" borderId="0" xfId="0" applyFont="1" applyFill="1" applyBorder="1" applyAlignment="1">
      <alignment/>
    </xf>
    <xf numFmtId="0" fontId="22" fillId="20" borderId="25" xfId="0" applyFont="1" applyFill="1" applyBorder="1" applyAlignment="1">
      <alignment/>
    </xf>
    <xf numFmtId="0" fontId="29" fillId="0" borderId="26" xfId="0" applyFont="1" applyBorder="1" applyAlignment="1">
      <alignment/>
    </xf>
    <xf numFmtId="0" fontId="2" fillId="0" borderId="16" xfId="0" applyFont="1" applyBorder="1" applyAlignment="1">
      <alignment horizontal="center"/>
    </xf>
    <xf numFmtId="0" fontId="2" fillId="0" borderId="48" xfId="0" applyFont="1" applyBorder="1" applyAlignment="1">
      <alignment horizontal="center" wrapText="1"/>
    </xf>
    <xf numFmtId="0" fontId="2" fillId="0" borderId="49" xfId="0" applyFont="1" applyBorder="1" applyAlignment="1">
      <alignment horizontal="center" wrapText="1"/>
    </xf>
    <xf numFmtId="0" fontId="2" fillId="0" borderId="15" xfId="0" applyFont="1" applyBorder="1" applyAlignment="1">
      <alignment/>
    </xf>
    <xf numFmtId="0" fontId="0" fillId="24" borderId="12" xfId="0" applyFont="1" applyFill="1" applyBorder="1" applyAlignment="1">
      <alignment/>
    </xf>
    <xf numFmtId="0" fontId="0" fillId="24" borderId="14" xfId="0" applyFill="1" applyBorder="1" applyAlignment="1">
      <alignment/>
    </xf>
    <xf numFmtId="0" fontId="0" fillId="24" borderId="14" xfId="0" applyFont="1" applyFill="1" applyBorder="1" applyAlignment="1">
      <alignment vertical="top" wrapText="1"/>
    </xf>
    <xf numFmtId="0" fontId="0" fillId="24" borderId="10" xfId="0" applyFont="1" applyFill="1" applyBorder="1" applyAlignment="1">
      <alignment horizontal="left" vertical="top" wrapText="1"/>
    </xf>
    <xf numFmtId="175" fontId="0" fillId="8" borderId="15" xfId="0" applyNumberFormat="1" applyFont="1" applyFill="1" applyBorder="1" applyAlignment="1">
      <alignment horizontal="center" wrapText="1"/>
    </xf>
    <xf numFmtId="1" fontId="0" fillId="8" borderId="14" xfId="0" applyNumberFormat="1" applyFill="1" applyBorder="1" applyAlignment="1">
      <alignment horizontal="left" indent="6"/>
    </xf>
    <xf numFmtId="0" fontId="28" fillId="7" borderId="46" xfId="0" applyFont="1" applyFill="1" applyBorder="1" applyAlignment="1">
      <alignment horizontal="center"/>
    </xf>
    <xf numFmtId="3" fontId="0" fillId="4" borderId="49" xfId="0" applyNumberFormat="1" applyFill="1" applyBorder="1" applyAlignment="1">
      <alignment/>
    </xf>
    <xf numFmtId="1" fontId="0" fillId="4" borderId="14" xfId="0" applyNumberFormat="1" applyFill="1" applyBorder="1" applyAlignment="1">
      <alignment/>
    </xf>
    <xf numFmtId="0" fontId="28" fillId="7" borderId="12" xfId="0" applyFont="1" applyFill="1" applyBorder="1" applyAlignment="1">
      <alignment horizontal="center" wrapText="1"/>
    </xf>
    <xf numFmtId="0" fontId="0" fillId="24" borderId="10" xfId="0" applyFill="1" applyBorder="1" applyAlignment="1">
      <alignment/>
    </xf>
    <xf numFmtId="0" fontId="0" fillId="24" borderId="14" xfId="0" applyFill="1" applyBorder="1" applyAlignment="1">
      <alignment/>
    </xf>
    <xf numFmtId="2" fontId="0" fillId="24" borderId="14" xfId="0" applyNumberFormat="1" applyFill="1" applyBorder="1" applyAlignment="1">
      <alignment/>
    </xf>
    <xf numFmtId="2" fontId="0" fillId="24" borderId="10" xfId="0" applyNumberFormat="1" applyFill="1" applyBorder="1" applyAlignment="1">
      <alignment/>
    </xf>
    <xf numFmtId="0" fontId="0" fillId="24" borderId="32" xfId="0" applyFill="1" applyBorder="1" applyAlignment="1">
      <alignment/>
    </xf>
    <xf numFmtId="0" fontId="0" fillId="24" borderId="11" xfId="0" applyFill="1" applyBorder="1" applyAlignment="1">
      <alignment/>
    </xf>
    <xf numFmtId="0" fontId="26" fillId="7" borderId="24" xfId="0" applyFont="1" applyFill="1" applyBorder="1" applyAlignment="1">
      <alignment wrapText="1"/>
    </xf>
    <xf numFmtId="0" fontId="22" fillId="7" borderId="0" xfId="0" applyFont="1" applyFill="1" applyAlignment="1">
      <alignment/>
    </xf>
    <xf numFmtId="0" fontId="22" fillId="7" borderId="25" xfId="0" applyFont="1" applyFill="1" applyBorder="1" applyAlignment="1">
      <alignment/>
    </xf>
    <xf numFmtId="0" fontId="0" fillId="0" borderId="24" xfId="0" applyBorder="1" applyAlignment="1">
      <alignment wrapText="1"/>
    </xf>
    <xf numFmtId="0" fontId="0" fillId="0" borderId="0" xfId="0" applyAlignment="1">
      <alignment wrapText="1"/>
    </xf>
    <xf numFmtId="0" fontId="0" fillId="0" borderId="25" xfId="0" applyBorder="1" applyAlignment="1">
      <alignment wrapText="1"/>
    </xf>
    <xf numFmtId="0" fontId="0" fillId="0" borderId="24" xfId="0" applyFont="1" applyBorder="1" applyAlignment="1">
      <alignment wrapText="1"/>
    </xf>
    <xf numFmtId="0" fontId="0" fillId="0" borderId="0" xfId="0" applyAlignment="1">
      <alignment/>
    </xf>
    <xf numFmtId="0" fontId="22" fillId="0" borderId="21" xfId="0" applyFont="1" applyFill="1"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1" xfId="0" applyFont="1" applyBorder="1" applyAlignment="1">
      <alignment wrapText="1"/>
    </xf>
    <xf numFmtId="0" fontId="0" fillId="0" borderId="22" xfId="0" applyBorder="1" applyAlignment="1">
      <alignment/>
    </xf>
    <xf numFmtId="0" fontId="0" fillId="0" borderId="23" xfId="0" applyBorder="1" applyAlignment="1">
      <alignment/>
    </xf>
    <xf numFmtId="0" fontId="22" fillId="7" borderId="0" xfId="0" applyFont="1" applyFill="1" applyAlignment="1">
      <alignment wrapText="1"/>
    </xf>
    <xf numFmtId="0" fontId="22" fillId="7" borderId="25" xfId="0" applyFont="1" applyFill="1" applyBorder="1" applyAlignment="1">
      <alignment wrapText="1"/>
    </xf>
    <xf numFmtId="0" fontId="0" fillId="0" borderId="17"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 fillId="7" borderId="46" xfId="0" applyFont="1" applyFill="1" applyBorder="1" applyAlignment="1">
      <alignment horizontal="center" vertical="center"/>
    </xf>
    <xf numFmtId="0" fontId="2" fillId="7" borderId="12" xfId="0" applyFont="1" applyFill="1" applyBorder="1" applyAlignment="1">
      <alignment horizontal="center" vertical="center"/>
    </xf>
    <xf numFmtId="0" fontId="2" fillId="0" borderId="12" xfId="0" applyFont="1" applyBorder="1" applyAlignment="1">
      <alignment horizontal="right"/>
    </xf>
    <xf numFmtId="0" fontId="2" fillId="0" borderId="14" xfId="0" applyFont="1" applyBorder="1" applyAlignment="1">
      <alignment horizontal="right"/>
    </xf>
    <xf numFmtId="0" fontId="2" fillId="0" borderId="13" xfId="0" applyFont="1" applyBorder="1" applyAlignment="1">
      <alignment horizontal="right"/>
    </xf>
    <xf numFmtId="0" fontId="2" fillId="0" borderId="32" xfId="0" applyFont="1" applyBorder="1" applyAlignment="1">
      <alignment horizontal="right"/>
    </xf>
    <xf numFmtId="0" fontId="2" fillId="20" borderId="44" xfId="0" applyFont="1" applyFill="1" applyBorder="1" applyAlignment="1">
      <alignment horizontal="center" vertical="center"/>
    </xf>
    <xf numFmtId="0" fontId="2" fillId="20" borderId="50" xfId="0" applyFont="1" applyFill="1" applyBorder="1" applyAlignment="1">
      <alignment horizontal="center" vertical="center"/>
    </xf>
    <xf numFmtId="0" fontId="2" fillId="20" borderId="51"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13</xdr:row>
      <xdr:rowOff>152400</xdr:rowOff>
    </xdr:from>
    <xdr:to>
      <xdr:col>3</xdr:col>
      <xdr:colOff>285750</xdr:colOff>
      <xdr:row>34</xdr:row>
      <xdr:rowOff>66675</xdr:rowOff>
    </xdr:to>
    <xdr:grpSp>
      <xdr:nvGrpSpPr>
        <xdr:cNvPr id="1" name="Group 1"/>
        <xdr:cNvGrpSpPr>
          <a:grpSpLocks noChangeAspect="1"/>
        </xdr:cNvGrpSpPr>
      </xdr:nvGrpSpPr>
      <xdr:grpSpPr>
        <a:xfrm>
          <a:off x="247650" y="2352675"/>
          <a:ext cx="5372100" cy="3314700"/>
          <a:chOff x="2692" y="3589"/>
          <a:chExt cx="8460" cy="5220"/>
        </a:xfrm>
        <a:solidFill>
          <a:srgbClr val="FFFFFF"/>
        </a:solidFill>
      </xdr:grpSpPr>
      <xdr:sp>
        <xdr:nvSpPr>
          <xdr:cNvPr id="2" name="AutoShape 2"/>
          <xdr:cNvSpPr>
            <a:spLocks noChangeAspect="1"/>
          </xdr:cNvSpPr>
        </xdr:nvSpPr>
        <xdr:spPr>
          <a:xfrm>
            <a:off x="2692" y="3589"/>
            <a:ext cx="8460" cy="522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3"/>
          <xdr:cNvSpPr txBox="1">
            <a:spLocks noChangeArrowheads="1"/>
          </xdr:cNvSpPr>
        </xdr:nvSpPr>
        <xdr:spPr>
          <a:xfrm>
            <a:off x="2872" y="4850"/>
            <a:ext cx="1620" cy="1620"/>
          </a:xfrm>
          <a:prstGeom prst="rect">
            <a:avLst/>
          </a:prstGeom>
          <a:solidFill>
            <a:srgbClr val="66CCFF"/>
          </a:solidFill>
          <a:ln w="12700"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Melbourne 
</a:t>
            </a:r>
            <a:r>
              <a:rPr lang="en-US" cap="none" sz="1200" b="0" i="0" u="none" baseline="0">
                <a:solidFill>
                  <a:srgbClr val="000000"/>
                </a:solidFill>
                <a:latin typeface="Times New Roman"/>
                <a:ea typeface="Times New Roman"/>
                <a:cs typeface="Times New Roman"/>
              </a:rPr>
              <a:t>Water 
</a:t>
            </a:r>
            <a:r>
              <a:rPr lang="en-US" cap="none" sz="1200" b="0" i="0" u="none" baseline="0">
                <a:solidFill>
                  <a:srgbClr val="000000"/>
                </a:solidFill>
                <a:latin typeface="Times New Roman"/>
                <a:ea typeface="Times New Roman"/>
                <a:cs typeface="Times New Roman"/>
              </a:rPr>
              <a:t>Corporation
</a:t>
            </a:r>
          </a:p>
        </xdr:txBody>
      </xdr:sp>
      <xdr:sp>
        <xdr:nvSpPr>
          <xdr:cNvPr id="4" name="Line 4"/>
          <xdr:cNvSpPr>
            <a:spLocks/>
          </xdr:cNvSpPr>
        </xdr:nvSpPr>
        <xdr:spPr>
          <a:xfrm flipV="1">
            <a:off x="6831" y="5389"/>
            <a:ext cx="1440" cy="1"/>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Text Box 5"/>
          <xdr:cNvSpPr txBox="1">
            <a:spLocks noChangeArrowheads="1"/>
          </xdr:cNvSpPr>
        </xdr:nvSpPr>
        <xdr:spPr>
          <a:xfrm>
            <a:off x="8271" y="4670"/>
            <a:ext cx="2519" cy="234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City of Melbourne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sp>
        <xdr:nvSpPr>
          <xdr:cNvPr id="6" name="Line 6"/>
          <xdr:cNvSpPr>
            <a:spLocks/>
          </xdr:cNvSpPr>
        </xdr:nvSpPr>
        <xdr:spPr>
          <a:xfrm flipH="1">
            <a:off x="6831" y="5929"/>
            <a:ext cx="1440" cy="1"/>
          </a:xfrm>
          <a:prstGeom prst="line">
            <a:avLst/>
          </a:prstGeom>
          <a:noFill/>
          <a:ln w="38100" cmpd="sng">
            <a:solidFill>
              <a:srgbClr val="808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6831" y="6109"/>
            <a:ext cx="1800" cy="540"/>
          </a:xfrm>
          <a:prstGeom prst="rect">
            <a:avLst/>
          </a:prstGeom>
          <a:noFill/>
          <a:ln w="9525" cmpd="sng">
            <a:noFill/>
          </a:ln>
        </xdr:spPr>
        <xdr:txBody>
          <a:bodyPr vertOverflow="clip" wrap="square"/>
          <a:p>
            <a:pPr algn="l">
              <a:defRPr/>
            </a:pPr>
            <a:r>
              <a:rPr lang="en-US" cap="none" sz="1000" b="0" i="0" u="none" baseline="0">
                <a:solidFill>
                  <a:srgbClr val="000000"/>
                </a:solidFill>
              </a:rPr>
              <a:t>Waste Water
</a:t>
            </a:r>
          </a:p>
        </xdr:txBody>
      </xdr:sp>
      <xdr:sp>
        <xdr:nvSpPr>
          <xdr:cNvPr id="8" name="Rectangle 8"/>
          <xdr:cNvSpPr>
            <a:spLocks/>
          </xdr:cNvSpPr>
        </xdr:nvSpPr>
        <xdr:spPr>
          <a:xfrm>
            <a:off x="7013" y="4670"/>
            <a:ext cx="1081" cy="720"/>
          </a:xfrm>
          <a:prstGeom prst="rect">
            <a:avLst/>
          </a:prstGeom>
          <a:noFill/>
          <a:ln w="9525" cmpd="sng">
            <a:noFill/>
          </a:ln>
        </xdr:spPr>
        <xdr:txBody>
          <a:bodyPr vertOverflow="clip" wrap="square"/>
          <a:p>
            <a:pPr algn="l">
              <a:defRPr/>
            </a:pPr>
            <a:r>
              <a:rPr lang="en-US" cap="none" sz="1000" b="0" i="0" u="none" baseline="0">
                <a:solidFill>
                  <a:srgbClr val="000000"/>
                </a:solidFill>
              </a:rPr>
              <a:t>Potable 
</a:t>
            </a:r>
            <a:r>
              <a:rPr lang="en-US" cap="none" sz="1000" b="0" i="0" u="none" baseline="0">
                <a:solidFill>
                  <a:srgbClr val="000000"/>
                </a:solidFill>
              </a:rPr>
              <a:t>water
</a:t>
            </a:r>
          </a:p>
        </xdr:txBody>
      </xdr:sp>
      <xdr:sp>
        <xdr:nvSpPr>
          <xdr:cNvPr id="9" name="Text Box 9" descr="Light horizontal"/>
          <xdr:cNvSpPr txBox="1">
            <a:spLocks noChangeArrowheads="1"/>
          </xdr:cNvSpPr>
        </xdr:nvSpPr>
        <xdr:spPr>
          <a:xfrm>
            <a:off x="8593" y="5929"/>
            <a:ext cx="1980" cy="720"/>
          </a:xfrm>
          <a:prstGeom prst="rect">
            <a:avLst/>
          </a:prstGeom>
          <a:pattFill prst="ltHorz">
            <a:fgClr>
              <a:srgbClr val="FF6600"/>
            </a:fgClr>
            <a:bgClr>
              <a:srgbClr val="FFFFFF"/>
            </a:bgClr>
          </a:patt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Water Saving Scheme</a:t>
            </a:r>
            <a:r>
              <a:rPr lang="en-US" cap="none" sz="1200" b="0" i="0" u="none" baseline="0">
                <a:solidFill>
                  <a:srgbClr val="000000"/>
                </a:solidFill>
                <a:latin typeface="Times New Roman"/>
                <a:ea typeface="Times New Roman"/>
                <a:cs typeface="Times New Roman"/>
              </a:rPr>
              <a:t>
</a:t>
            </a:r>
          </a:p>
        </xdr:txBody>
      </xdr:sp>
      <xdr:sp>
        <xdr:nvSpPr>
          <xdr:cNvPr id="10" name="Text Box 10" descr="Wide downward diagonal"/>
          <xdr:cNvSpPr txBox="1">
            <a:spLocks noChangeArrowheads="1"/>
          </xdr:cNvSpPr>
        </xdr:nvSpPr>
        <xdr:spPr>
          <a:xfrm>
            <a:off x="4492" y="7548"/>
            <a:ext cx="2881" cy="720"/>
          </a:xfrm>
          <a:prstGeom prst="rect">
            <a:avLst/>
          </a:prstGeom>
          <a:pattFill prst="wdDnDiag">
            <a:fgClr>
              <a:srgbClr val="99CCFF"/>
            </a:fgClr>
            <a:bgClr>
              <a:srgbClr val="FFFFFF"/>
            </a:bgClr>
          </a:patt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Emissions from Business as Usual
</a:t>
            </a:r>
          </a:p>
        </xdr:txBody>
      </xdr:sp>
      <xdr:sp>
        <xdr:nvSpPr>
          <xdr:cNvPr id="11" name="Text Box 11" descr="Light horizontal"/>
          <xdr:cNvSpPr txBox="1">
            <a:spLocks noChangeArrowheads="1"/>
          </xdr:cNvSpPr>
        </xdr:nvSpPr>
        <xdr:spPr>
          <a:xfrm>
            <a:off x="8092" y="7548"/>
            <a:ext cx="2881" cy="720"/>
          </a:xfrm>
          <a:prstGeom prst="rect">
            <a:avLst/>
          </a:prstGeom>
          <a:pattFill prst="ltHorz">
            <a:fgClr>
              <a:srgbClr val="FF6600"/>
            </a:fgClr>
            <a:bgClr>
              <a:srgbClr val="FFFFFF"/>
            </a:bgClr>
          </a:patt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Emissions from Water Saving Scheme
</a:t>
            </a:r>
          </a:p>
        </xdr:txBody>
      </xdr:sp>
      <xdr:sp>
        <xdr:nvSpPr>
          <xdr:cNvPr id="12" name="Text Box 12"/>
          <xdr:cNvSpPr txBox="1">
            <a:spLocks noChangeArrowheads="1"/>
          </xdr:cNvSpPr>
        </xdr:nvSpPr>
        <xdr:spPr>
          <a:xfrm>
            <a:off x="5211" y="4850"/>
            <a:ext cx="1620" cy="1800"/>
          </a:xfrm>
          <a:prstGeom prst="rect">
            <a:avLst/>
          </a:prstGeom>
          <a:solidFill>
            <a:srgbClr val="66CCFF"/>
          </a:solidFill>
          <a:ln w="9525"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City
</a:t>
            </a:r>
            <a:r>
              <a:rPr lang="en-US" cap="none" sz="1200" b="0" i="0" u="none" baseline="0">
                <a:solidFill>
                  <a:srgbClr val="000000"/>
                </a:solidFill>
                <a:latin typeface="Times New Roman"/>
                <a:ea typeface="Times New Roman"/>
                <a:cs typeface="Times New Roman"/>
              </a:rPr>
              <a:t>West
</a:t>
            </a:r>
            <a:r>
              <a:rPr lang="en-US" cap="none" sz="1200" b="0" i="0" u="none" baseline="0">
                <a:solidFill>
                  <a:srgbClr val="000000"/>
                </a:solidFill>
                <a:latin typeface="Times New Roman"/>
                <a:ea typeface="Times New Roman"/>
                <a:cs typeface="Times New Roman"/>
              </a:rPr>
              <a:t>Water
</a:t>
            </a:r>
          </a:p>
        </xdr:txBody>
      </xdr:sp>
      <xdr:sp>
        <xdr:nvSpPr>
          <xdr:cNvPr id="13" name="Line 13"/>
          <xdr:cNvSpPr>
            <a:spLocks/>
          </xdr:cNvSpPr>
        </xdr:nvSpPr>
        <xdr:spPr>
          <a:xfrm flipV="1">
            <a:off x="4492" y="5389"/>
            <a:ext cx="719" cy="1"/>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flipH="1">
            <a:off x="4492" y="5929"/>
            <a:ext cx="719" cy="1"/>
          </a:xfrm>
          <a:prstGeom prst="line">
            <a:avLst/>
          </a:prstGeom>
          <a:noFill/>
          <a:ln w="38100" cmpd="sng">
            <a:solidFill>
              <a:srgbClr val="808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 name="Text Box 15" descr="Wide downward diagonal"/>
          <xdr:cNvSpPr txBox="1">
            <a:spLocks noChangeArrowheads="1"/>
          </xdr:cNvSpPr>
        </xdr:nvSpPr>
        <xdr:spPr>
          <a:xfrm>
            <a:off x="3891" y="4309"/>
            <a:ext cx="3600" cy="2880"/>
          </a:xfrm>
          <a:prstGeom prst="rect">
            <a:avLst/>
          </a:prstGeom>
          <a:pattFill prst="wdDnDiag">
            <a:fgClr>
              <a:srgbClr val="99CCFF"/>
            </a:fgClr>
            <a:bgClr>
              <a:srgbClr val="FFFFFF"/>
            </a:bgClr>
          </a:patt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S52"/>
  <sheetViews>
    <sheetView showGridLines="0" zoomScale="90" zoomScaleNormal="90" zoomScalePageLayoutView="0" workbookViewId="0" topLeftCell="A1">
      <selection activeCell="K16" sqref="K16"/>
    </sheetView>
  </sheetViews>
  <sheetFormatPr defaultColWidth="9.140625" defaultRowHeight="12.75"/>
  <cols>
    <col min="1" max="1" width="17.8515625" style="0" customWidth="1"/>
    <col min="2" max="2" width="1.7109375" style="0" customWidth="1"/>
    <col min="3" max="3" width="22.28125" style="0" customWidth="1"/>
    <col min="4" max="4" width="11.8515625" style="0" customWidth="1"/>
    <col min="14" max="14" width="17.28125" style="0" customWidth="1"/>
  </cols>
  <sheetData>
    <row r="1" spans="1:19" s="56" customFormat="1" ht="13.5" thickBot="1">
      <c r="A1" s="55"/>
      <c r="B1" s="55"/>
      <c r="C1" s="55"/>
      <c r="D1" s="55"/>
      <c r="E1" s="55"/>
      <c r="F1" s="55"/>
      <c r="G1" s="55"/>
      <c r="H1" s="55"/>
      <c r="I1" s="55"/>
      <c r="J1" s="55"/>
      <c r="K1" s="55"/>
      <c r="L1" s="55"/>
      <c r="M1" s="55"/>
      <c r="N1" s="55"/>
      <c r="O1" s="55"/>
      <c r="P1" s="55"/>
      <c r="Q1" s="55"/>
      <c r="R1" s="55"/>
      <c r="S1" s="55"/>
    </row>
    <row r="2" spans="1:19" s="56" customFormat="1" ht="28.5" thickBot="1">
      <c r="A2" s="52" t="s">
        <v>269</v>
      </c>
      <c r="B2" s="53"/>
      <c r="C2" s="53"/>
      <c r="D2" s="53"/>
      <c r="E2" s="53"/>
      <c r="F2" s="53"/>
      <c r="G2" s="53"/>
      <c r="H2" s="53"/>
      <c r="I2" s="53"/>
      <c r="J2" s="53"/>
      <c r="K2" s="53"/>
      <c r="L2" s="54"/>
      <c r="M2" s="55"/>
      <c r="N2" s="55"/>
      <c r="O2" s="55"/>
      <c r="P2" s="55"/>
      <c r="Q2" s="55"/>
      <c r="R2" s="55"/>
      <c r="S2" s="55"/>
    </row>
    <row r="3" spans="1:19" s="56" customFormat="1" ht="15" customHeight="1" thickBot="1">
      <c r="A3" s="55"/>
      <c r="B3" s="55"/>
      <c r="C3" s="57"/>
      <c r="D3" s="57"/>
      <c r="E3" s="57"/>
      <c r="F3" s="57"/>
      <c r="G3" s="57"/>
      <c r="H3" s="57"/>
      <c r="I3" s="57"/>
      <c r="J3" s="57"/>
      <c r="K3" s="55"/>
      <c r="L3" s="55"/>
      <c r="M3" s="55"/>
      <c r="N3" s="55"/>
      <c r="O3" s="55"/>
      <c r="P3" s="55"/>
      <c r="Q3" s="55"/>
      <c r="R3" s="55"/>
      <c r="S3" s="55"/>
    </row>
    <row r="4" spans="1:14" ht="32.25" customHeight="1">
      <c r="A4" s="236" t="s">
        <v>46</v>
      </c>
      <c r="C4" s="271" t="s">
        <v>276</v>
      </c>
      <c r="D4" s="272"/>
      <c r="E4" s="272"/>
      <c r="F4" s="272"/>
      <c r="G4" s="272"/>
      <c r="H4" s="272"/>
      <c r="I4" s="272"/>
      <c r="J4" s="272"/>
      <c r="K4" s="272"/>
      <c r="L4" s="272"/>
      <c r="M4" s="272"/>
      <c r="N4" s="273"/>
    </row>
    <row r="5" spans="1:14" ht="15.75">
      <c r="A5" s="237"/>
      <c r="C5" s="30" t="s">
        <v>270</v>
      </c>
      <c r="D5" s="18"/>
      <c r="E5" s="18"/>
      <c r="F5" s="18"/>
      <c r="G5" s="18"/>
      <c r="H5" s="18"/>
      <c r="I5" s="18"/>
      <c r="J5" s="18"/>
      <c r="K5" s="18"/>
      <c r="L5" s="18"/>
      <c r="M5" s="18"/>
      <c r="N5" s="31"/>
    </row>
    <row r="6" spans="1:14" ht="15.75">
      <c r="A6" s="237"/>
      <c r="C6" s="30" t="s">
        <v>215</v>
      </c>
      <c r="D6" s="18"/>
      <c r="E6" s="18"/>
      <c r="F6" s="18"/>
      <c r="G6" s="18"/>
      <c r="H6" s="18"/>
      <c r="I6" s="18"/>
      <c r="J6" s="18"/>
      <c r="K6" s="18"/>
      <c r="L6" s="18"/>
      <c r="M6" s="18"/>
      <c r="N6" s="31"/>
    </row>
    <row r="7" spans="1:14" ht="15.75">
      <c r="A7" s="237"/>
      <c r="C7" s="61" t="s">
        <v>216</v>
      </c>
      <c r="D7" s="40"/>
      <c r="E7" s="18"/>
      <c r="F7" s="18"/>
      <c r="G7" s="18"/>
      <c r="H7" s="18"/>
      <c r="I7" s="18"/>
      <c r="J7" s="18"/>
      <c r="K7" s="18"/>
      <c r="L7" s="18"/>
      <c r="M7" s="18"/>
      <c r="N7" s="31"/>
    </row>
    <row r="8" spans="1:14" ht="15.75">
      <c r="A8" s="237"/>
      <c r="C8" s="62" t="s">
        <v>217</v>
      </c>
      <c r="D8" s="41"/>
      <c r="E8" s="41"/>
      <c r="F8" s="41"/>
      <c r="G8" s="41"/>
      <c r="H8" s="41"/>
      <c r="I8" s="41"/>
      <c r="J8" s="41"/>
      <c r="K8" s="41"/>
      <c r="L8" s="41"/>
      <c r="M8" s="41"/>
      <c r="N8" s="31"/>
    </row>
    <row r="9" spans="1:14" ht="13.5" thickBot="1">
      <c r="A9" s="238"/>
      <c r="C9" s="32" t="s">
        <v>293</v>
      </c>
      <c r="D9" s="33"/>
      <c r="E9" s="33"/>
      <c r="F9" s="33"/>
      <c r="G9" s="33"/>
      <c r="H9" s="33"/>
      <c r="I9" s="33"/>
      <c r="J9" s="33"/>
      <c r="K9" s="33"/>
      <c r="L9" s="33"/>
      <c r="M9" s="33"/>
      <c r="N9" s="34"/>
    </row>
    <row r="10" spans="1:14" ht="13.5" thickBot="1">
      <c r="A10" s="19"/>
      <c r="C10" s="18"/>
      <c r="D10" s="18"/>
      <c r="E10" s="18"/>
      <c r="F10" s="18"/>
      <c r="G10" s="18"/>
      <c r="H10" s="18"/>
      <c r="I10" s="18"/>
      <c r="J10" s="18"/>
      <c r="K10" s="18"/>
      <c r="L10" s="18"/>
      <c r="M10" s="18"/>
      <c r="N10" s="18"/>
    </row>
    <row r="11" spans="1:14" ht="25.5" customHeight="1">
      <c r="A11" s="26" t="s">
        <v>111</v>
      </c>
      <c r="C11" s="274" t="s">
        <v>277</v>
      </c>
      <c r="D11" s="275"/>
      <c r="E11" s="275"/>
      <c r="F11" s="275"/>
      <c r="G11" s="275"/>
      <c r="H11" s="275"/>
      <c r="I11" s="275"/>
      <c r="J11" s="275"/>
      <c r="K11" s="275"/>
      <c r="L11" s="275"/>
      <c r="M11" s="275"/>
      <c r="N11" s="276"/>
    </row>
    <row r="12" spans="1:14" ht="15" thickBot="1">
      <c r="A12" s="232"/>
      <c r="C12" s="242" t="s">
        <v>294</v>
      </c>
      <c r="D12" s="33"/>
      <c r="E12" s="33"/>
      <c r="F12" s="33"/>
      <c r="G12" s="33"/>
      <c r="H12" s="33"/>
      <c r="I12" s="33"/>
      <c r="J12" s="33"/>
      <c r="K12" s="33"/>
      <c r="L12" s="33"/>
      <c r="M12" s="33"/>
      <c r="N12" s="34"/>
    </row>
    <row r="13" spans="1:14" ht="15" thickBot="1">
      <c r="A13" s="193"/>
      <c r="C13" s="192"/>
      <c r="D13" s="18"/>
      <c r="E13" s="18"/>
      <c r="F13" s="18"/>
      <c r="G13" s="18"/>
      <c r="H13" s="18"/>
      <c r="I13" s="18"/>
      <c r="J13" s="18"/>
      <c r="K13" s="18"/>
      <c r="L13" s="18"/>
      <c r="M13" s="18"/>
      <c r="N13" s="31"/>
    </row>
    <row r="14" spans="1:14" ht="15.75">
      <c r="A14" s="233" t="s">
        <v>209</v>
      </c>
      <c r="C14" s="191" t="s">
        <v>274</v>
      </c>
      <c r="D14" s="28"/>
      <c r="E14" s="28"/>
      <c r="F14" s="28"/>
      <c r="G14" s="28"/>
      <c r="H14" s="28"/>
      <c r="I14" s="28"/>
      <c r="J14" s="28"/>
      <c r="K14" s="28"/>
      <c r="L14" s="28"/>
      <c r="M14" s="28"/>
      <c r="N14" s="29"/>
    </row>
    <row r="15" spans="1:14" ht="29.25" customHeight="1">
      <c r="A15" s="234"/>
      <c r="C15" s="269" t="s">
        <v>275</v>
      </c>
      <c r="D15" s="270"/>
      <c r="E15" s="270"/>
      <c r="F15" s="270"/>
      <c r="G15" s="270"/>
      <c r="H15" s="270"/>
      <c r="I15" s="270"/>
      <c r="J15" s="270"/>
      <c r="K15" s="270"/>
      <c r="L15" s="270"/>
      <c r="M15" s="270"/>
      <c r="N15" s="31"/>
    </row>
    <row r="16" spans="1:14" ht="15" thickBot="1">
      <c r="A16" s="235"/>
      <c r="C16" s="60" t="s">
        <v>273</v>
      </c>
      <c r="D16" s="33"/>
      <c r="E16" s="33"/>
      <c r="F16" s="33"/>
      <c r="G16" s="33"/>
      <c r="H16" s="33"/>
      <c r="I16" s="33"/>
      <c r="J16" s="33"/>
      <c r="K16" s="33"/>
      <c r="L16" s="33"/>
      <c r="M16" s="33"/>
      <c r="N16" s="34"/>
    </row>
    <row r="17" ht="13.5" thickBot="1"/>
    <row r="18" spans="1:14" ht="31.5">
      <c r="A18" s="194" t="s">
        <v>288</v>
      </c>
      <c r="C18" s="27" t="s">
        <v>287</v>
      </c>
      <c r="D18" s="28"/>
      <c r="E18" s="28"/>
      <c r="F18" s="28"/>
      <c r="G18" s="28"/>
      <c r="H18" s="28"/>
      <c r="I18" s="28"/>
      <c r="J18" s="28"/>
      <c r="K18" s="28"/>
      <c r="L18" s="28"/>
      <c r="M18" s="28"/>
      <c r="N18" s="29"/>
    </row>
    <row r="19" spans="1:14" ht="39" customHeight="1">
      <c r="A19" s="184"/>
      <c r="C19" s="266" t="s">
        <v>289</v>
      </c>
      <c r="D19" s="267"/>
      <c r="E19" s="267"/>
      <c r="F19" s="267"/>
      <c r="G19" s="267"/>
      <c r="H19" s="267"/>
      <c r="I19" s="267"/>
      <c r="J19" s="267"/>
      <c r="K19" s="267"/>
      <c r="L19" s="267"/>
      <c r="M19" s="267"/>
      <c r="N19" s="268"/>
    </row>
    <row r="20" spans="1:14" ht="12.75">
      <c r="A20" s="23"/>
      <c r="C20" s="30"/>
      <c r="D20" s="18"/>
      <c r="E20" s="18"/>
      <c r="F20" s="18"/>
      <c r="G20" s="18"/>
      <c r="H20" s="18"/>
      <c r="I20" s="18"/>
      <c r="J20" s="18"/>
      <c r="K20" s="18"/>
      <c r="L20" s="18"/>
      <c r="M20" s="18"/>
      <c r="N20" s="31"/>
    </row>
    <row r="21" spans="1:14" ht="14.25">
      <c r="A21" s="25"/>
      <c r="C21" s="170" t="s">
        <v>278</v>
      </c>
      <c r="D21" s="18"/>
      <c r="E21" s="18"/>
      <c r="F21" s="18"/>
      <c r="G21" s="18"/>
      <c r="H21" s="18"/>
      <c r="I21" s="18"/>
      <c r="J21" s="18"/>
      <c r="K21" s="18"/>
      <c r="L21" s="18"/>
      <c r="M21" s="18"/>
      <c r="N21" s="31"/>
    </row>
    <row r="22" spans="1:14" ht="12.75">
      <c r="A22" s="23"/>
      <c r="C22" s="30" t="s">
        <v>212</v>
      </c>
      <c r="D22" s="18"/>
      <c r="E22" s="18"/>
      <c r="F22" s="18"/>
      <c r="G22" s="18"/>
      <c r="H22" s="18"/>
      <c r="I22" s="18"/>
      <c r="J22" s="18"/>
      <c r="K22" s="18"/>
      <c r="L22" s="18"/>
      <c r="M22" s="18"/>
      <c r="N22" s="31"/>
    </row>
    <row r="23" spans="1:14" ht="12.75">
      <c r="A23" s="23"/>
      <c r="C23" s="58" t="s">
        <v>213</v>
      </c>
      <c r="D23" s="18"/>
      <c r="E23" s="18"/>
      <c r="F23" s="18"/>
      <c r="G23" s="18"/>
      <c r="H23" s="18"/>
      <c r="I23" s="18"/>
      <c r="J23" s="18"/>
      <c r="K23" s="18"/>
      <c r="L23" s="18"/>
      <c r="M23" s="18"/>
      <c r="N23" s="31"/>
    </row>
    <row r="24" spans="1:14" ht="12.75">
      <c r="A24" s="23"/>
      <c r="C24" s="30"/>
      <c r="D24" s="18"/>
      <c r="E24" s="18"/>
      <c r="F24" s="18"/>
      <c r="G24" s="18"/>
      <c r="H24" s="18"/>
      <c r="I24" s="18"/>
      <c r="J24" s="18"/>
      <c r="K24" s="18"/>
      <c r="L24" s="18"/>
      <c r="M24" s="18"/>
      <c r="N24" s="31"/>
    </row>
    <row r="25" spans="1:14" ht="12.75">
      <c r="A25" s="23"/>
      <c r="C25" s="170" t="s">
        <v>280</v>
      </c>
      <c r="D25" s="18"/>
      <c r="E25" s="18"/>
      <c r="F25" s="18"/>
      <c r="G25" s="18"/>
      <c r="H25" s="18"/>
      <c r="I25" s="18"/>
      <c r="J25" s="18"/>
      <c r="K25" s="18"/>
      <c r="L25" s="18"/>
      <c r="M25" s="18"/>
      <c r="N25" s="31"/>
    </row>
    <row r="26" spans="1:14" ht="12.75">
      <c r="A26" s="23"/>
      <c r="C26" s="30" t="s">
        <v>235</v>
      </c>
      <c r="D26" s="18"/>
      <c r="E26" s="18"/>
      <c r="F26" s="18"/>
      <c r="G26" s="18"/>
      <c r="H26" s="18"/>
      <c r="I26" s="18"/>
      <c r="J26" s="18"/>
      <c r="K26" s="18"/>
      <c r="L26" s="18"/>
      <c r="M26" s="18"/>
      <c r="N26" s="31"/>
    </row>
    <row r="27" spans="1:14" ht="12.75">
      <c r="A27" s="23"/>
      <c r="C27" s="30" t="s">
        <v>236</v>
      </c>
      <c r="D27" s="18"/>
      <c r="E27" s="18"/>
      <c r="F27" s="18"/>
      <c r="G27" s="18"/>
      <c r="H27" s="18"/>
      <c r="I27" s="35"/>
      <c r="J27" s="35"/>
      <c r="K27" s="35"/>
      <c r="L27" s="35"/>
      <c r="M27" s="18"/>
      <c r="N27" s="31"/>
    </row>
    <row r="28" spans="1:14" ht="12.75">
      <c r="A28" s="23"/>
      <c r="C28" s="30"/>
      <c r="D28" s="18"/>
      <c r="E28" s="18"/>
      <c r="F28" s="18"/>
      <c r="G28" s="18"/>
      <c r="H28" s="18"/>
      <c r="I28" s="18"/>
      <c r="J28" s="18"/>
      <c r="K28" s="18"/>
      <c r="L28" s="18"/>
      <c r="M28" s="18"/>
      <c r="N28" s="31"/>
    </row>
    <row r="29" spans="1:14" ht="14.25">
      <c r="A29" s="25"/>
      <c r="C29" s="170" t="s">
        <v>279</v>
      </c>
      <c r="D29" s="18"/>
      <c r="E29" s="18"/>
      <c r="F29" s="18"/>
      <c r="G29" s="18"/>
      <c r="H29" s="18"/>
      <c r="I29" s="18"/>
      <c r="J29" s="18"/>
      <c r="K29" s="18"/>
      <c r="L29" s="18"/>
      <c r="M29" s="18"/>
      <c r="N29" s="31"/>
    </row>
    <row r="30" spans="1:14" ht="12.75">
      <c r="A30" s="23"/>
      <c r="C30" s="30" t="s">
        <v>214</v>
      </c>
      <c r="D30" s="18"/>
      <c r="E30" s="18"/>
      <c r="F30" s="18"/>
      <c r="G30" s="18"/>
      <c r="H30" s="18"/>
      <c r="I30" s="18"/>
      <c r="J30" s="18"/>
      <c r="K30" s="18"/>
      <c r="L30" s="18"/>
      <c r="M30" s="18"/>
      <c r="N30" s="31"/>
    </row>
    <row r="31" spans="1:14" ht="12.75">
      <c r="A31" s="23"/>
      <c r="C31" s="30" t="s">
        <v>264</v>
      </c>
      <c r="D31" s="18"/>
      <c r="E31" s="18"/>
      <c r="F31" s="18"/>
      <c r="G31" s="18"/>
      <c r="H31" s="18"/>
      <c r="I31" s="18"/>
      <c r="J31" s="18"/>
      <c r="K31" s="18"/>
      <c r="L31" s="18"/>
      <c r="M31" s="18"/>
      <c r="N31" s="31"/>
    </row>
    <row r="32" spans="1:14" ht="12.75">
      <c r="A32" s="23"/>
      <c r="C32" s="30"/>
      <c r="D32" s="18"/>
      <c r="E32" s="18"/>
      <c r="F32" s="18"/>
      <c r="G32" s="18"/>
      <c r="H32" s="18"/>
      <c r="I32" s="18"/>
      <c r="J32" s="18"/>
      <c r="K32" s="18"/>
      <c r="L32" s="18"/>
      <c r="M32" s="18"/>
      <c r="N32" s="31"/>
    </row>
    <row r="33" spans="1:14" ht="12.75">
      <c r="A33" s="23"/>
      <c r="C33" s="170" t="s">
        <v>281</v>
      </c>
      <c r="D33" s="18"/>
      <c r="E33" s="18"/>
      <c r="F33" s="18"/>
      <c r="G33" s="18"/>
      <c r="H33" s="18"/>
      <c r="I33" s="18"/>
      <c r="J33" s="18"/>
      <c r="K33" s="18"/>
      <c r="L33" s="18"/>
      <c r="M33" s="18"/>
      <c r="N33" s="31"/>
    </row>
    <row r="34" spans="1:14" ht="12.75">
      <c r="A34" s="23"/>
      <c r="C34" s="30" t="s">
        <v>283</v>
      </c>
      <c r="D34" s="18"/>
      <c r="E34" s="18"/>
      <c r="F34" s="18"/>
      <c r="G34" s="18"/>
      <c r="H34" s="18"/>
      <c r="I34" s="18"/>
      <c r="J34" s="18"/>
      <c r="K34" s="18"/>
      <c r="L34" s="18"/>
      <c r="M34" s="18"/>
      <c r="N34" s="31"/>
    </row>
    <row r="35" spans="1:14" ht="12.75">
      <c r="A35" s="23"/>
      <c r="C35" s="59" t="s">
        <v>282</v>
      </c>
      <c r="D35" s="18"/>
      <c r="E35" s="18"/>
      <c r="F35" s="18"/>
      <c r="G35" s="18"/>
      <c r="H35" s="18"/>
      <c r="I35" s="18"/>
      <c r="J35" s="18"/>
      <c r="K35" s="18"/>
      <c r="L35" s="18"/>
      <c r="M35" s="18"/>
      <c r="N35" s="31"/>
    </row>
    <row r="36" spans="1:14" ht="12.75">
      <c r="A36" s="23"/>
      <c r="C36" s="37"/>
      <c r="D36" s="36"/>
      <c r="E36" s="36"/>
      <c r="F36" s="36"/>
      <c r="G36" s="36"/>
      <c r="H36" s="36"/>
      <c r="I36" s="36"/>
      <c r="J36" s="36"/>
      <c r="K36" s="18"/>
      <c r="L36" s="18"/>
      <c r="M36" s="18"/>
      <c r="N36" s="31"/>
    </row>
    <row r="37" spans="1:14" ht="12.75">
      <c r="A37" s="23"/>
      <c r="C37" s="239" t="s">
        <v>290</v>
      </c>
      <c r="D37" s="240"/>
      <c r="E37" s="240"/>
      <c r="F37" s="240"/>
      <c r="G37" s="240"/>
      <c r="H37" s="240"/>
      <c r="I37" s="240"/>
      <c r="J37" s="240"/>
      <c r="K37" s="240"/>
      <c r="L37" s="240"/>
      <c r="M37" s="240"/>
      <c r="N37" s="241"/>
    </row>
    <row r="38" spans="1:14" ht="12.75">
      <c r="A38" s="23"/>
      <c r="C38" s="239" t="s">
        <v>286</v>
      </c>
      <c r="D38" s="240"/>
      <c r="E38" s="240"/>
      <c r="F38" s="240"/>
      <c r="G38" s="240"/>
      <c r="H38" s="240"/>
      <c r="I38" s="240"/>
      <c r="J38" s="240"/>
      <c r="K38" s="240"/>
      <c r="L38" s="240"/>
      <c r="M38" s="240"/>
      <c r="N38" s="241"/>
    </row>
    <row r="39" spans="1:14" ht="29.25" customHeight="1">
      <c r="A39" s="23"/>
      <c r="C39" s="263" t="s">
        <v>291</v>
      </c>
      <c r="D39" s="277"/>
      <c r="E39" s="277"/>
      <c r="F39" s="277"/>
      <c r="G39" s="277"/>
      <c r="H39" s="277"/>
      <c r="I39" s="277"/>
      <c r="J39" s="277"/>
      <c r="K39" s="277"/>
      <c r="L39" s="277"/>
      <c r="M39" s="277"/>
      <c r="N39" s="278"/>
    </row>
    <row r="40" spans="1:14" ht="27" customHeight="1">
      <c r="A40" s="23"/>
      <c r="C40" s="263" t="s">
        <v>292</v>
      </c>
      <c r="D40" s="264"/>
      <c r="E40" s="264"/>
      <c r="F40" s="264"/>
      <c r="G40" s="264"/>
      <c r="H40" s="264"/>
      <c r="I40" s="264"/>
      <c r="J40" s="264"/>
      <c r="K40" s="264"/>
      <c r="L40" s="264"/>
      <c r="M40" s="264"/>
      <c r="N40" s="265"/>
    </row>
    <row r="41" spans="1:14" ht="12.75">
      <c r="A41" s="23"/>
      <c r="C41" s="37"/>
      <c r="D41" s="36"/>
      <c r="E41" s="36"/>
      <c r="F41" s="36"/>
      <c r="G41" s="36"/>
      <c r="H41" s="36"/>
      <c r="I41" s="36"/>
      <c r="J41" s="36"/>
      <c r="K41" s="18"/>
      <c r="L41" s="18"/>
      <c r="M41" s="18"/>
      <c r="N41" s="31"/>
    </row>
    <row r="42" spans="1:14" ht="12.75">
      <c r="A42" s="23"/>
      <c r="C42" s="170" t="s">
        <v>244</v>
      </c>
      <c r="D42" s="36"/>
      <c r="E42" s="36"/>
      <c r="F42" s="36"/>
      <c r="G42" s="36"/>
      <c r="H42" s="36"/>
      <c r="I42" s="36"/>
      <c r="J42" s="36"/>
      <c r="K42" s="18"/>
      <c r="L42" s="18"/>
      <c r="M42" s="18"/>
      <c r="N42" s="31"/>
    </row>
    <row r="43" spans="1:14" ht="12.75">
      <c r="A43" s="23"/>
      <c r="C43" s="170" t="s">
        <v>237</v>
      </c>
      <c r="D43" s="36"/>
      <c r="E43" s="36"/>
      <c r="F43" s="36"/>
      <c r="G43" s="36"/>
      <c r="H43" s="36"/>
      <c r="I43" s="36"/>
      <c r="J43" s="36"/>
      <c r="K43" s="18"/>
      <c r="L43" s="18"/>
      <c r="M43" s="18"/>
      <c r="N43" s="31"/>
    </row>
    <row r="44" spans="1:14" ht="12.75">
      <c r="A44" s="23"/>
      <c r="C44" s="30" t="s">
        <v>238</v>
      </c>
      <c r="D44" s="36"/>
      <c r="E44" s="36"/>
      <c r="F44" s="36"/>
      <c r="G44" s="36"/>
      <c r="H44" s="36"/>
      <c r="I44" s="36"/>
      <c r="J44" s="36"/>
      <c r="K44" s="18"/>
      <c r="L44" s="18"/>
      <c r="M44" s="18"/>
      <c r="N44" s="31"/>
    </row>
    <row r="45" spans="1:14" ht="12.75">
      <c r="A45" s="23"/>
      <c r="C45" s="170" t="s">
        <v>239</v>
      </c>
      <c r="D45" s="36"/>
      <c r="E45" s="36"/>
      <c r="F45" s="36"/>
      <c r="G45" s="36"/>
      <c r="H45" s="36"/>
      <c r="I45" s="36"/>
      <c r="J45" s="36"/>
      <c r="K45" s="18"/>
      <c r="L45" s="18"/>
      <c r="M45" s="18"/>
      <c r="N45" s="31"/>
    </row>
    <row r="46" spans="1:14" ht="12.75">
      <c r="A46" s="23"/>
      <c r="C46" s="30" t="s">
        <v>240</v>
      </c>
      <c r="D46" s="36"/>
      <c r="E46" s="36"/>
      <c r="F46" s="36"/>
      <c r="G46" s="36"/>
      <c r="H46" s="36"/>
      <c r="I46" s="36"/>
      <c r="J46" s="36"/>
      <c r="K46" s="18"/>
      <c r="L46" s="18"/>
      <c r="M46" s="18"/>
      <c r="N46" s="31"/>
    </row>
    <row r="47" spans="1:14" ht="12.75">
      <c r="A47" s="23"/>
      <c r="C47" s="30" t="s">
        <v>242</v>
      </c>
      <c r="D47" s="36"/>
      <c r="E47" s="36"/>
      <c r="F47" s="36"/>
      <c r="G47" s="36"/>
      <c r="H47" s="36"/>
      <c r="I47" s="36"/>
      <c r="J47" s="36"/>
      <c r="K47" s="18"/>
      <c r="L47" s="18"/>
      <c r="M47" s="18"/>
      <c r="N47" s="31"/>
    </row>
    <row r="48" spans="1:14" ht="12.75">
      <c r="A48" s="23"/>
      <c r="C48" s="30" t="s">
        <v>241</v>
      </c>
      <c r="D48" s="36"/>
      <c r="E48" s="36"/>
      <c r="F48" s="36"/>
      <c r="G48" s="36"/>
      <c r="H48" s="36"/>
      <c r="I48" s="36"/>
      <c r="J48" s="36"/>
      <c r="K48" s="18"/>
      <c r="L48" s="18"/>
      <c r="M48" s="18"/>
      <c r="N48" s="31"/>
    </row>
    <row r="49" spans="1:14" ht="12.75">
      <c r="A49" s="23"/>
      <c r="C49" s="170" t="s">
        <v>243</v>
      </c>
      <c r="D49" s="36"/>
      <c r="E49" s="36"/>
      <c r="F49" s="36"/>
      <c r="G49" s="36"/>
      <c r="H49" s="36"/>
      <c r="I49" s="36"/>
      <c r="J49" s="36"/>
      <c r="K49" s="18"/>
      <c r="L49" s="18"/>
      <c r="M49" s="18"/>
      <c r="N49" s="31"/>
    </row>
    <row r="50" spans="1:14" ht="12.75">
      <c r="A50" s="23"/>
      <c r="C50" s="30" t="s">
        <v>285</v>
      </c>
      <c r="D50" s="36"/>
      <c r="E50" s="36"/>
      <c r="F50" s="36"/>
      <c r="G50" s="36"/>
      <c r="H50" s="36"/>
      <c r="I50" s="36"/>
      <c r="J50" s="36"/>
      <c r="K50" s="18"/>
      <c r="L50" s="18"/>
      <c r="M50" s="18"/>
      <c r="N50" s="31"/>
    </row>
    <row r="51" spans="1:14" ht="13.5" thickBot="1">
      <c r="A51" s="24"/>
      <c r="C51" s="38"/>
      <c r="D51" s="33"/>
      <c r="E51" s="33"/>
      <c r="F51" s="33"/>
      <c r="G51" s="33"/>
      <c r="H51" s="33"/>
      <c r="I51" s="33"/>
      <c r="J51" s="33"/>
      <c r="K51" s="33"/>
      <c r="L51" s="33"/>
      <c r="M51" s="33"/>
      <c r="N51" s="34"/>
    </row>
    <row r="52" spans="1:14" ht="12.75">
      <c r="A52" s="39"/>
      <c r="C52" s="36"/>
      <c r="D52" s="18"/>
      <c r="E52" s="18"/>
      <c r="F52" s="18"/>
      <c r="G52" s="18"/>
      <c r="H52" s="18"/>
      <c r="I52" s="18"/>
      <c r="J52" s="18"/>
      <c r="K52" s="18"/>
      <c r="L52" s="18"/>
      <c r="M52" s="18"/>
      <c r="N52" s="18"/>
    </row>
  </sheetData>
  <sheetProtection/>
  <mergeCells count="6">
    <mergeCell ref="C40:N40"/>
    <mergeCell ref="C19:N19"/>
    <mergeCell ref="C15:M15"/>
    <mergeCell ref="C4:N4"/>
    <mergeCell ref="C11:N11"/>
    <mergeCell ref="C39:N39"/>
  </mergeCells>
  <printOptions/>
  <pageMargins left="0.75" right="0.75" top="1" bottom="1" header="0.5" footer="0.5"/>
  <pageSetup fitToHeight="1" fitToWidth="1" horizontalDpi="600" verticalDpi="600" orientation="portrait" paperSize="8" scale="71" r:id="rId1"/>
</worksheet>
</file>

<file path=xl/worksheets/sheet2.xml><?xml version="1.0" encoding="utf-8"?>
<worksheet xmlns="http://schemas.openxmlformats.org/spreadsheetml/2006/main" xmlns:r="http://schemas.openxmlformats.org/officeDocument/2006/relationships">
  <sheetPr>
    <tabColor indexed="22"/>
  </sheetPr>
  <dimension ref="A1:F29"/>
  <sheetViews>
    <sheetView showGridLines="0" zoomScale="90" zoomScaleNormal="90" zoomScalePageLayoutView="0" workbookViewId="0" topLeftCell="A1">
      <selection activeCell="B46" sqref="B46"/>
    </sheetView>
  </sheetViews>
  <sheetFormatPr defaultColWidth="9.140625" defaultRowHeight="12.75"/>
  <cols>
    <col min="1" max="1" width="5.140625" style="0" customWidth="1"/>
    <col min="2" max="2" width="54.00390625" style="2" customWidth="1"/>
    <col min="3" max="3" width="20.8515625" style="0" customWidth="1"/>
    <col min="4" max="4" width="4.8515625" style="0" customWidth="1"/>
    <col min="5" max="5" width="19.8515625" style="0" customWidth="1"/>
    <col min="6" max="6" width="19.140625" style="0" customWidth="1"/>
  </cols>
  <sheetData>
    <row r="1" spans="1:6" ht="15.75" thickBot="1">
      <c r="A1" s="47" t="s">
        <v>101</v>
      </c>
      <c r="B1" s="102"/>
      <c r="C1" s="49"/>
      <c r="D1" s="49"/>
      <c r="E1" s="103"/>
      <c r="F1" s="48"/>
    </row>
    <row r="3" spans="2:3" ht="13.5" thickBot="1">
      <c r="B3" s="78" t="s">
        <v>175</v>
      </c>
      <c r="C3" s="18"/>
    </row>
    <row r="4" spans="2:5" ht="12.75">
      <c r="B4" s="159" t="s">
        <v>172</v>
      </c>
      <c r="C4" s="161">
        <v>0</v>
      </c>
      <c r="E4" t="s">
        <v>210</v>
      </c>
    </row>
    <row r="5" spans="2:5" ht="12.75">
      <c r="B5" s="104" t="s">
        <v>173</v>
      </c>
      <c r="C5" s="106">
        <v>0.09</v>
      </c>
      <c r="E5" t="s">
        <v>211</v>
      </c>
    </row>
    <row r="6" spans="2:3" ht="13.5" thickBot="1">
      <c r="B6" s="72" t="s">
        <v>174</v>
      </c>
      <c r="C6" s="160">
        <f>SUM(C4:C5)</f>
        <v>0.09</v>
      </c>
    </row>
    <row r="8" spans="2:3" ht="13.5" thickBot="1">
      <c r="B8" s="78" t="s">
        <v>176</v>
      </c>
      <c r="C8" s="18"/>
    </row>
    <row r="9" spans="2:3" ht="12.75">
      <c r="B9" s="159" t="s">
        <v>172</v>
      </c>
      <c r="C9" s="161">
        <v>0</v>
      </c>
    </row>
    <row r="10" spans="2:3" ht="12.75">
      <c r="B10" s="104" t="s">
        <v>173</v>
      </c>
      <c r="C10" s="106">
        <v>0.74</v>
      </c>
    </row>
    <row r="11" spans="2:3" ht="13.5" thickBot="1">
      <c r="B11" s="72" t="s">
        <v>174</v>
      </c>
      <c r="C11" s="160">
        <f>SUM(C9:C10)</f>
        <v>0.74</v>
      </c>
    </row>
    <row r="13" ht="14.25">
      <c r="A13" s="162" t="s">
        <v>180</v>
      </c>
    </row>
    <row r="14" ht="12.75"/>
    <row r="15" ht="12.75">
      <c r="E15" s="163" t="s">
        <v>265</v>
      </c>
    </row>
    <row r="16" ht="12.75">
      <c r="E16" s="164" t="s">
        <v>177</v>
      </c>
    </row>
    <row r="17" ht="12.75">
      <c r="E17" s="164" t="s">
        <v>178</v>
      </c>
    </row>
    <row r="18" ht="12.75">
      <c r="E18" s="164" t="s">
        <v>179</v>
      </c>
    </row>
    <row r="19" ht="12.75">
      <c r="E19" s="164"/>
    </row>
    <row r="20" ht="12.75">
      <c r="E20" s="164" t="s">
        <v>181</v>
      </c>
    </row>
    <row r="21" ht="12.75">
      <c r="E21" s="164" t="s">
        <v>182</v>
      </c>
    </row>
    <row r="22" ht="12.75">
      <c r="E22" s="164" t="s">
        <v>183</v>
      </c>
    </row>
    <row r="23" ht="12.75"/>
    <row r="24" ht="12.75"/>
    <row r="25" ht="12.75"/>
    <row r="26" ht="12.75"/>
    <row r="27" ht="12.75"/>
    <row r="28" ht="12.75"/>
    <row r="29" spans="5:6" ht="12.75">
      <c r="E29" s="1"/>
      <c r="F29" s="1"/>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34"/>
  </sheetPr>
  <dimension ref="A1:J20"/>
  <sheetViews>
    <sheetView showGridLines="0" zoomScalePageLayoutView="0" workbookViewId="0" topLeftCell="A1">
      <selection activeCell="D22" sqref="D22"/>
    </sheetView>
  </sheetViews>
  <sheetFormatPr defaultColWidth="9.140625" defaultRowHeight="12.75"/>
  <cols>
    <col min="1" max="1" width="4.8515625" style="0" customWidth="1"/>
    <col min="2" max="2" width="24.140625" style="0" customWidth="1"/>
    <col min="3" max="3" width="8.7109375" style="0" customWidth="1"/>
    <col min="4" max="4" width="12.28125" style="0" customWidth="1"/>
    <col min="5" max="5" width="15.57421875" style="0" customWidth="1"/>
    <col min="6" max="6" width="12.57421875" style="0" customWidth="1"/>
    <col min="7" max="7" width="6.00390625" style="0" customWidth="1"/>
    <col min="8" max="8" width="12.57421875" style="0" customWidth="1"/>
    <col min="9" max="9" width="13.421875" style="0" customWidth="1"/>
    <col min="10" max="10" width="16.7109375" style="0" customWidth="1"/>
  </cols>
  <sheetData>
    <row r="1" ht="13.5" thickBot="1">
      <c r="A1" s="64" t="s">
        <v>261</v>
      </c>
    </row>
    <row r="2" spans="1:10" ht="39" customHeight="1">
      <c r="A2" s="64"/>
      <c r="B2" s="124"/>
      <c r="C2" s="125" t="s">
        <v>111</v>
      </c>
      <c r="D2" s="279" t="s">
        <v>272</v>
      </c>
      <c r="E2" s="280"/>
      <c r="F2" s="280"/>
      <c r="G2" s="281"/>
      <c r="H2" s="126" t="s">
        <v>122</v>
      </c>
      <c r="I2" s="128" t="s">
        <v>115</v>
      </c>
      <c r="J2" s="127" t="s">
        <v>124</v>
      </c>
    </row>
    <row r="3" spans="1:10" s="4" customFormat="1" ht="13.5" thickBot="1">
      <c r="A3" s="123"/>
      <c r="B3" s="138"/>
      <c r="C3" s="139" t="s">
        <v>51</v>
      </c>
      <c r="D3" s="140" t="s">
        <v>112</v>
      </c>
      <c r="E3" s="142" t="s">
        <v>113</v>
      </c>
      <c r="F3" s="142" t="s">
        <v>114</v>
      </c>
      <c r="G3" s="143" t="s">
        <v>51</v>
      </c>
      <c r="H3" s="144" t="s">
        <v>51</v>
      </c>
      <c r="I3" s="139" t="s">
        <v>123</v>
      </c>
      <c r="J3" s="145" t="s">
        <v>271</v>
      </c>
    </row>
    <row r="4" spans="1:10" ht="12.75">
      <c r="A4" s="64"/>
      <c r="B4" s="137" t="str">
        <f>'Recycled tanker'!C1</f>
        <v>Recycled water by tanker</v>
      </c>
      <c r="C4" s="148">
        <f>SUM('Recycled tanker'!$D$8:$D$9)</f>
        <v>4.5</v>
      </c>
      <c r="D4" s="149">
        <f>HLOOKUP($B4,'Recycled tanker'!$C$7:$D$14,5,FALSE)</f>
        <v>24.2352</v>
      </c>
      <c r="E4" s="149">
        <f>HLOOKUP($B4,'Recycled tanker'!$C$7:$D$14,6,FALSE)</f>
        <v>0</v>
      </c>
      <c r="F4" s="149">
        <f>HLOOKUP($B4,'Recycled tanker'!$C$7:$D$14,7,FALSE)</f>
        <v>1.7952</v>
      </c>
      <c r="G4" s="149">
        <f>SUM(D4:F4)</f>
        <v>26.0304</v>
      </c>
      <c r="H4" s="149">
        <f>G4-C4</f>
        <v>21.5304</v>
      </c>
      <c r="I4" s="150">
        <f>'Recycled tanker'!$C$20</f>
        <v>50000</v>
      </c>
      <c r="J4" s="151">
        <f>G4/I4</f>
        <v>0.000520608</v>
      </c>
    </row>
    <row r="5" spans="1:10" ht="12.75">
      <c r="A5" s="64"/>
      <c r="B5" s="70" t="str">
        <f>'Rainwater tank'!C1</f>
        <v>Rainwater tanks</v>
      </c>
      <c r="C5" s="146">
        <f>SUM('Rainwater tank'!$D$8:$D$9)</f>
        <v>1.66</v>
      </c>
      <c r="D5" s="118">
        <f>HLOOKUP($B5,'Rainwater tank'!$C$7:$D$14,5,FALSE)</f>
        <v>0</v>
      </c>
      <c r="E5" s="118">
        <f>HLOOKUP($B5,'Rainwater tank'!$C$7:$D$14,6,FALSE)</f>
        <v>6.15</v>
      </c>
      <c r="F5" s="118">
        <f>HLOOKUP($B5,'Rainwater tank'!$C$7:$D$14,7,FALSE)</f>
        <v>12.864540589920002</v>
      </c>
      <c r="G5" s="118">
        <f>SUM(D5:F5)</f>
        <v>19.014540589920003</v>
      </c>
      <c r="H5" s="118">
        <f>G5-C5</f>
        <v>17.354540589920003</v>
      </c>
      <c r="I5" s="147">
        <f>'Rainwater tank'!$C$20</f>
        <v>2000</v>
      </c>
      <c r="J5" s="152">
        <f>G5/I5</f>
        <v>0.00950727029496</v>
      </c>
    </row>
    <row r="6" spans="1:10" ht="12.75">
      <c r="A6" s="64"/>
      <c r="B6" s="70" t="str">
        <f>Stormwater!C1</f>
        <v>Stormwater treatment</v>
      </c>
      <c r="C6" s="146">
        <f>SUM(Stormwater!$D$8:$D$9)</f>
        <v>1.29</v>
      </c>
      <c r="D6" s="118">
        <f>HLOOKUP($B6,Stormwater!$C$7:$D$14,5,FALSE)</f>
        <v>15.512999999999998</v>
      </c>
      <c r="E6" s="118">
        <f>HLOOKUP($B6,Stormwater!$C$7:$D$14,6,FALSE)</f>
        <v>204.4875</v>
      </c>
      <c r="F6" s="118">
        <f>HLOOKUP($B6,Stormwater!$C$7:$D$14,7,FALSE)</f>
        <v>26.2422402</v>
      </c>
      <c r="G6" s="118">
        <f>SUM(D6:F6)</f>
        <v>246.24274020000001</v>
      </c>
      <c r="H6" s="118">
        <f>G6-C6</f>
        <v>244.95274020000002</v>
      </c>
      <c r="I6" s="147">
        <f>Stormwater!$C$20</f>
        <v>2000</v>
      </c>
      <c r="J6" s="152">
        <f>G6/I6</f>
        <v>0.1231213701</v>
      </c>
    </row>
    <row r="7" spans="1:10" ht="13.5" thickBot="1">
      <c r="A7" s="64"/>
      <c r="B7" s="8" t="str">
        <f>Wastewater!C1</f>
        <v>Wastewater - water mining</v>
      </c>
      <c r="C7" s="154">
        <f>SUM(Wastewater!D8:D9)</f>
        <v>1.29</v>
      </c>
      <c r="D7" s="129">
        <f>HLOOKUP($B7,Wastewater!$B$7:$D$15,5,FALSE)</f>
        <v>16127.290500000001</v>
      </c>
      <c r="E7" s="129">
        <f>HLOOKUP($B7,Wastewater!$B$7:$D$15,6,FALSE)</f>
        <v>12.3</v>
      </c>
      <c r="F7" s="129">
        <f>HLOOKUP($B7,Wastewater!$B$7:$D$15,7,FALSE)</f>
        <v>26.224657620000002</v>
      </c>
      <c r="G7" s="129">
        <f>SUM(D7:F7)</f>
        <v>16165.81515762</v>
      </c>
      <c r="H7" s="129">
        <f>G7-C7</f>
        <v>16164.525157619999</v>
      </c>
      <c r="I7" s="155">
        <f>Wastewater!$C$20</f>
        <v>2000</v>
      </c>
      <c r="J7" s="153">
        <f>G7/I7</f>
        <v>8.08290757881</v>
      </c>
    </row>
    <row r="8" ht="12.75">
      <c r="A8" s="64"/>
    </row>
    <row r="9" ht="12.75">
      <c r="A9" s="64"/>
    </row>
    <row r="10" ht="13.5" thickBot="1">
      <c r="A10" s="64" t="s">
        <v>246</v>
      </c>
    </row>
    <row r="11" spans="1:10" ht="39" customHeight="1">
      <c r="A11" s="64"/>
      <c r="B11" s="124"/>
      <c r="C11" s="125" t="s">
        <v>111</v>
      </c>
      <c r="D11" s="279" t="s">
        <v>272</v>
      </c>
      <c r="E11" s="280"/>
      <c r="F11" s="280"/>
      <c r="G11" s="281"/>
      <c r="H11" s="126" t="s">
        <v>122</v>
      </c>
      <c r="I11" s="128" t="s">
        <v>115</v>
      </c>
      <c r="J11" s="127" t="s">
        <v>124</v>
      </c>
    </row>
    <row r="12" spans="1:10" s="4" customFormat="1" ht="13.5" thickBot="1">
      <c r="A12" s="123"/>
      <c r="B12" s="138"/>
      <c r="C12" s="139" t="s">
        <v>51</v>
      </c>
      <c r="D12" s="140" t="s">
        <v>112</v>
      </c>
      <c r="E12" s="142" t="s">
        <v>113</v>
      </c>
      <c r="F12" s="142" t="s">
        <v>114</v>
      </c>
      <c r="G12" s="143" t="s">
        <v>51</v>
      </c>
      <c r="H12" s="144" t="s">
        <v>51</v>
      </c>
      <c r="I12" s="139" t="s">
        <v>123</v>
      </c>
      <c r="J12" s="145" t="s">
        <v>271</v>
      </c>
    </row>
    <row r="13" spans="1:10" ht="12.75">
      <c r="A13" s="64"/>
      <c r="B13" s="137" t="str">
        <f>'Recycled tanker'!C1</f>
        <v>Recycled water by tanker</v>
      </c>
      <c r="C13" s="148">
        <f>'Recycled tanker'!E10</f>
        <v>4.5</v>
      </c>
      <c r="D13" s="149">
        <f>HLOOKUP($A10,'Recycled tanker'!$D$6:$E$15,6,FALSE)</f>
        <v>24.2352</v>
      </c>
      <c r="E13" s="149">
        <f>HLOOKUP($A10,'Recycled tanker'!$D$6:$E$15,7,FALSE)</f>
        <v>0</v>
      </c>
      <c r="F13" s="149">
        <f>HLOOKUP($A10,'Recycled tanker'!$D$6:$E$15,8,FALSE)</f>
        <v>1.7952</v>
      </c>
      <c r="G13" s="149">
        <f>SUM(D13:F13)</f>
        <v>26.0304</v>
      </c>
      <c r="H13" s="149">
        <f>G13-C13</f>
        <v>21.5304</v>
      </c>
      <c r="I13" s="150">
        <f>'Recycled tanker'!$C$20</f>
        <v>50000</v>
      </c>
      <c r="J13" s="151">
        <f>G13/I13</f>
        <v>0.000520608</v>
      </c>
    </row>
    <row r="14" spans="1:10" ht="12.75">
      <c r="A14" s="64"/>
      <c r="B14" s="70" t="str">
        <f>'Rainwater tank'!C1</f>
        <v>Rainwater tanks</v>
      </c>
      <c r="C14" s="146">
        <f>'Rainwater tank'!E10</f>
        <v>1.66</v>
      </c>
      <c r="D14" s="118">
        <f>HLOOKUP($A10,'Rainwater tank'!$B$6:$E$15,6,FALSE)</f>
        <v>0</v>
      </c>
      <c r="E14" s="118">
        <f>HLOOKUP($A10,'Rainwater tank'!$B$6:$E$15,7,FALSE)</f>
        <v>6.15</v>
      </c>
      <c r="F14" s="118">
        <f>HLOOKUP($A10,'Rainwater tank'!$B$6:$E$15,8,FALSE)</f>
        <v>12.204000000000002</v>
      </c>
      <c r="G14" s="118">
        <f>SUM(D14:F14)</f>
        <v>18.354000000000003</v>
      </c>
      <c r="H14" s="118">
        <f>G14-C14</f>
        <v>16.694000000000003</v>
      </c>
      <c r="I14" s="147">
        <f>'Rainwater tank'!$C$20</f>
        <v>2000</v>
      </c>
      <c r="J14" s="152">
        <f>G14/I14</f>
        <v>0.009177000000000001</v>
      </c>
    </row>
    <row r="15" spans="1:10" ht="12.75">
      <c r="A15" s="64"/>
      <c r="B15" s="70" t="str">
        <f>Stormwater!C1</f>
        <v>Stormwater treatment</v>
      </c>
      <c r="C15" s="146">
        <f>Stormwater!E10</f>
        <v>1.66</v>
      </c>
      <c r="D15" s="118">
        <f>HLOOKUP($A10,Stormwater!$B$6:$E$15,6,FALSE)</f>
        <v>15.512999999999998</v>
      </c>
      <c r="E15" s="118">
        <f>HLOOKUP($A10,Stormwater!$B$6:$E$15,7,FALSE)</f>
        <v>204.4875</v>
      </c>
      <c r="F15" s="118">
        <f>HLOOKUP($A10,Stormwater!$B$6:$E$15,8,FALSE)</f>
        <v>26.169</v>
      </c>
      <c r="G15" s="118">
        <f>SUM(D15:F15)</f>
        <v>246.16950000000003</v>
      </c>
      <c r="H15" s="118">
        <f>G15-C15</f>
        <v>244.50950000000003</v>
      </c>
      <c r="I15" s="147">
        <f>Stormwater!$C$20</f>
        <v>2000</v>
      </c>
      <c r="J15" s="152">
        <f>G15/I15</f>
        <v>0.12308475000000002</v>
      </c>
    </row>
    <row r="16" spans="1:10" ht="13.5" thickBot="1">
      <c r="A16" s="64"/>
      <c r="B16" s="8" t="str">
        <f>Wastewater!C1</f>
        <v>Wastewater - water mining</v>
      </c>
      <c r="C16" s="154">
        <f>Wastewater!E10</f>
        <v>1.66</v>
      </c>
      <c r="D16" s="129">
        <f>HLOOKUP($A10,Wastewater!$B$6:$E$15,6,FALSE)</f>
        <v>16127.290500000001</v>
      </c>
      <c r="E16" s="129">
        <f>HLOOKUP($A10,Wastewater!$B$6:$E$15,7,FALSE)</f>
        <v>12.3</v>
      </c>
      <c r="F16" s="129">
        <f>HLOOKUP($A10,Wastewater!$B$6:$E$15,8,FALSE)</f>
        <v>26.169</v>
      </c>
      <c r="G16" s="129">
        <f>SUM(D16:F16)</f>
        <v>16165.7595</v>
      </c>
      <c r="H16" s="129">
        <f>G16-C16</f>
        <v>16164.0995</v>
      </c>
      <c r="I16" s="155">
        <f>Wastewater!$C$20</f>
        <v>2000</v>
      </c>
      <c r="J16" s="153">
        <f>G16/I16</f>
        <v>8.08287975</v>
      </c>
    </row>
    <row r="19" ht="12.75">
      <c r="B19" s="188" t="s">
        <v>264</v>
      </c>
    </row>
    <row r="20" ht="12.75">
      <c r="B20" s="188"/>
    </row>
  </sheetData>
  <sheetProtection/>
  <mergeCells count="2">
    <mergeCell ref="D2:G2"/>
    <mergeCell ref="D11:G1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7"/>
  </sheetPr>
  <dimension ref="A1:O171"/>
  <sheetViews>
    <sheetView showGridLines="0" zoomScale="90" zoomScaleNormal="90" zoomScalePageLayoutView="0" workbookViewId="0" topLeftCell="A16">
      <selection activeCell="F12" sqref="F12"/>
    </sheetView>
  </sheetViews>
  <sheetFormatPr defaultColWidth="9.140625" defaultRowHeight="12.75"/>
  <cols>
    <col min="1" max="1" width="5.140625" style="0" customWidth="1"/>
    <col min="2" max="2" width="53.7109375" style="2" customWidth="1"/>
    <col min="3" max="3" width="24.421875" style="0" customWidth="1"/>
    <col min="4" max="4" width="23.140625" style="0" customWidth="1"/>
    <col min="5" max="5" width="23.00390625" style="0" customWidth="1"/>
    <col min="6" max="6" width="16.421875" style="0" customWidth="1"/>
    <col min="7" max="7" width="19.8515625" style="0" customWidth="1"/>
  </cols>
  <sheetData>
    <row r="1" spans="1:5" ht="15.75" thickBot="1">
      <c r="A1" s="47"/>
      <c r="B1" s="116" t="s">
        <v>110</v>
      </c>
      <c r="C1" s="115" t="s">
        <v>284</v>
      </c>
      <c r="D1" s="49"/>
      <c r="E1" s="48"/>
    </row>
    <row r="2" ht="13.5" thickBot="1"/>
    <row r="3" spans="1:4" ht="102.75" thickBot="1">
      <c r="A3" s="1"/>
      <c r="B3" s="189" t="s">
        <v>266</v>
      </c>
      <c r="D3" s="9" t="s">
        <v>62</v>
      </c>
    </row>
    <row r="4" spans="1:4" ht="12.75">
      <c r="A4" s="1"/>
      <c r="D4" s="10" t="s">
        <v>52</v>
      </c>
    </row>
    <row r="5" spans="1:2" ht="15" customHeight="1" thickBot="1">
      <c r="A5" s="1"/>
      <c r="B5" s="3" t="s">
        <v>106</v>
      </c>
    </row>
    <row r="6" spans="1:5" s="4" customFormat="1" ht="29.25" customHeight="1">
      <c r="A6" s="67"/>
      <c r="B6" s="186"/>
      <c r="C6" s="187"/>
      <c r="D6" s="12" t="s">
        <v>245</v>
      </c>
      <c r="E6" s="13" t="s">
        <v>246</v>
      </c>
    </row>
    <row r="7" spans="1:6" ht="29.25" customHeight="1" thickBot="1">
      <c r="A7" s="1"/>
      <c r="B7" s="201"/>
      <c r="C7" s="202" t="s">
        <v>184</v>
      </c>
      <c r="D7" s="203" t="str">
        <f>C1</f>
        <v>Recycled water by tanker</v>
      </c>
      <c r="E7" s="204" t="str">
        <f>C1</f>
        <v>Recycled water by tanker</v>
      </c>
      <c r="F7" s="64"/>
    </row>
    <row r="8" spans="1:6" ht="27.75" customHeight="1">
      <c r="A8" s="1"/>
      <c r="B8" s="288" t="s">
        <v>118</v>
      </c>
      <c r="C8" s="220" t="s">
        <v>185</v>
      </c>
      <c r="D8" s="251">
        <f>$C$18*Baseline!$C$6/1000</f>
        <v>4.5</v>
      </c>
      <c r="E8" s="208">
        <f>$C$18*Baseline!$C$6/1000</f>
        <v>4.5</v>
      </c>
      <c r="F8" s="64"/>
    </row>
    <row r="9" spans="1:6" ht="24" customHeight="1">
      <c r="A9" s="1"/>
      <c r="B9" s="289"/>
      <c r="C9" s="221" t="s">
        <v>186</v>
      </c>
      <c r="D9" s="199">
        <f>$C$19*Baseline!$C$11/1000</f>
        <v>0</v>
      </c>
      <c r="E9" s="200">
        <f>$C$19*Baseline!$C$11/1000</f>
        <v>0</v>
      </c>
      <c r="F9" s="64"/>
    </row>
    <row r="10" spans="1:6" ht="24" customHeight="1" thickBot="1">
      <c r="A10" s="1"/>
      <c r="B10" s="290"/>
      <c r="C10" s="222" t="s">
        <v>219</v>
      </c>
      <c r="D10" s="209">
        <f>SUM(D8:D9)</f>
        <v>4.5</v>
      </c>
      <c r="E10" s="210">
        <f>SUM(E8:E9)</f>
        <v>4.5</v>
      </c>
      <c r="F10" s="64"/>
    </row>
    <row r="11" spans="1:5" ht="15" customHeight="1">
      <c r="A11" s="1"/>
      <c r="B11" s="282" t="s">
        <v>119</v>
      </c>
      <c r="C11" s="205" t="s">
        <v>187</v>
      </c>
      <c r="D11" s="206">
        <f>SUM($C$36:$G$36)+SUM($C$49:$G$49)+SUM($C$86:$G$86)</f>
        <v>24.2352</v>
      </c>
      <c r="E11" s="207">
        <f>SUM($C$36:$G$36)+SUM($C$49:$G$49)+SUM($C$86:$G$86)</f>
        <v>24.2352</v>
      </c>
    </row>
    <row r="12" spans="1:5" ht="15" customHeight="1">
      <c r="A12" s="1"/>
      <c r="B12" s="283"/>
      <c r="C12" s="119" t="s">
        <v>188</v>
      </c>
      <c r="D12" s="197">
        <f>SUM($C$62:$G$62)</f>
        <v>0</v>
      </c>
      <c r="E12" s="198">
        <f>SUM($C$62:$G$62)</f>
        <v>0</v>
      </c>
    </row>
    <row r="13" spans="1:5" ht="15" customHeight="1">
      <c r="A13" s="1"/>
      <c r="B13" s="283"/>
      <c r="C13" s="119" t="s">
        <v>189</v>
      </c>
      <c r="D13" s="252">
        <f>SUM($C$37:$G$37)+SUM($C$50:$G$50)+SUM($C$63:$G$63)+SUM($C$74:$G$74)+SUM($C$88:$G$88)+$C$21*Baseline!$C$6/1000+C22*Baseline!$C$11/1000</f>
        <v>1.7952</v>
      </c>
      <c r="E13" s="252">
        <f>SUM($C$37:$G$37)+SUM($C$50:$G$50)+SUM($C$63:$G$63)+SUM($C$88:$G$88)+$C$21*Baseline!$C$6/1000+C22*Baseline!$C$11/1000</f>
        <v>1.7952</v>
      </c>
    </row>
    <row r="14" spans="1:5" ht="15" customHeight="1">
      <c r="A14" s="1"/>
      <c r="B14" s="284" t="s">
        <v>120</v>
      </c>
      <c r="C14" s="285"/>
      <c r="D14" s="185">
        <f>SUM(D11:D13)</f>
        <v>26.0304</v>
      </c>
      <c r="E14" s="122">
        <f>SUM(E11:E13)</f>
        <v>26.0304</v>
      </c>
    </row>
    <row r="15" spans="1:5" ht="15" customHeight="1" thickBot="1">
      <c r="A15" s="1"/>
      <c r="B15" s="286" t="s">
        <v>121</v>
      </c>
      <c r="C15" s="287"/>
      <c r="D15" s="136">
        <f>D14-SUM(D8:D9)</f>
        <v>21.5304</v>
      </c>
      <c r="E15" s="114">
        <f>E14-SUM(E8:E9)</f>
        <v>21.5304</v>
      </c>
    </row>
    <row r="16" spans="1:4" ht="15" customHeight="1">
      <c r="A16" s="1"/>
      <c r="B16" s="68"/>
      <c r="D16" s="188" t="s">
        <v>262</v>
      </c>
    </row>
    <row r="17" spans="1:4" ht="15" customHeight="1" thickBot="1">
      <c r="A17" s="1"/>
      <c r="B17" s="68" t="s">
        <v>116</v>
      </c>
      <c r="D17" s="188" t="s">
        <v>263</v>
      </c>
    </row>
    <row r="18" spans="1:3" ht="15" customHeight="1">
      <c r="A18" s="1"/>
      <c r="B18" s="223" t="s">
        <v>259</v>
      </c>
      <c r="C18" s="120">
        <v>50000</v>
      </c>
    </row>
    <row r="19" spans="1:3" ht="15" customHeight="1" thickBot="1">
      <c r="A19" s="1"/>
      <c r="B19" s="224" t="s">
        <v>260</v>
      </c>
      <c r="C19" s="121">
        <v>0</v>
      </c>
    </row>
    <row r="20" spans="1:3" ht="15" customHeight="1">
      <c r="A20" s="1"/>
      <c r="B20" s="217" t="s">
        <v>297</v>
      </c>
      <c r="C20" s="120">
        <v>50000</v>
      </c>
    </row>
    <row r="21" spans="1:3" ht="15" customHeight="1">
      <c r="A21" s="1"/>
      <c r="B21" s="253" t="s">
        <v>298</v>
      </c>
      <c r="C21" s="254">
        <v>0</v>
      </c>
    </row>
    <row r="22" spans="1:4" ht="28.5" customHeight="1">
      <c r="A22" s="1"/>
      <c r="B22" s="256" t="s">
        <v>299</v>
      </c>
      <c r="C22" s="121">
        <v>0</v>
      </c>
      <c r="D22" s="166"/>
    </row>
    <row r="23" spans="1:3" ht="12.75">
      <c r="A23" s="1"/>
      <c r="B23" s="218" t="s">
        <v>117</v>
      </c>
      <c r="C23" s="71"/>
    </row>
    <row r="24" spans="1:3" ht="13.5" thickBot="1">
      <c r="A24" s="1"/>
      <c r="B24" s="219" t="s">
        <v>154</v>
      </c>
      <c r="C24" s="117">
        <v>20</v>
      </c>
    </row>
    <row r="25" spans="1:13" s="4" customFormat="1" ht="12.75">
      <c r="A25" s="1"/>
      <c r="B25" s="68"/>
      <c r="C25"/>
      <c r="D25"/>
      <c r="E25"/>
      <c r="F25"/>
      <c r="G25"/>
      <c r="H25"/>
      <c r="I25"/>
      <c r="J25"/>
      <c r="K25"/>
      <c r="L25"/>
      <c r="M25"/>
    </row>
    <row r="26" spans="1:13" s="4" customFormat="1" ht="13.5" thickBot="1">
      <c r="A26" s="1"/>
      <c r="B26" s="78" t="s">
        <v>4</v>
      </c>
      <c r="C26" s="18"/>
      <c r="D26"/>
      <c r="E26"/>
      <c r="F26"/>
      <c r="G26"/>
      <c r="H26"/>
      <c r="I26"/>
      <c r="J26"/>
      <c r="K26"/>
      <c r="L26"/>
      <c r="M26"/>
    </row>
    <row r="27" spans="1:15" s="4" customFormat="1" ht="12.75">
      <c r="A27" s="1"/>
      <c r="B27" s="92"/>
      <c r="C27" s="179" t="s">
        <v>90</v>
      </c>
      <c r="D27" s="179" t="s">
        <v>91</v>
      </c>
      <c r="E27" s="179" t="s">
        <v>92</v>
      </c>
      <c r="F27" s="179" t="s">
        <v>93</v>
      </c>
      <c r="G27" s="243" t="s">
        <v>94</v>
      </c>
      <c r="H27"/>
      <c r="I27"/>
      <c r="J27"/>
      <c r="K27"/>
      <c r="L27"/>
      <c r="M27"/>
      <c r="O27"/>
    </row>
    <row r="28" spans="1:7" s="4" customFormat="1" ht="25.5">
      <c r="A28" s="67"/>
      <c r="B28" s="169" t="s">
        <v>234</v>
      </c>
      <c r="C28" s="244" t="s">
        <v>228</v>
      </c>
      <c r="D28" s="244" t="s">
        <v>229</v>
      </c>
      <c r="E28" s="244" t="s">
        <v>227</v>
      </c>
      <c r="F28" s="244" t="s">
        <v>228</v>
      </c>
      <c r="G28" s="245" t="s">
        <v>229</v>
      </c>
    </row>
    <row r="29" spans="1:7" ht="12.75">
      <c r="A29" s="1"/>
      <c r="B29" s="182" t="s">
        <v>76</v>
      </c>
      <c r="C29" s="9">
        <v>3</v>
      </c>
      <c r="D29" s="9">
        <v>3</v>
      </c>
      <c r="E29" s="9"/>
      <c r="F29" s="9"/>
      <c r="G29" s="71"/>
    </row>
    <row r="30" spans="1:13" ht="12.75">
      <c r="A30" s="1"/>
      <c r="B30" s="182" t="s">
        <v>77</v>
      </c>
      <c r="C30" s="255">
        <f>C20/7.5</f>
        <v>6666.666666666667</v>
      </c>
      <c r="D30" s="9">
        <f>C20/25</f>
        <v>2000</v>
      </c>
      <c r="E30" s="9">
        <v>50</v>
      </c>
      <c r="F30" s="9">
        <v>50</v>
      </c>
      <c r="G30" s="71">
        <v>50</v>
      </c>
      <c r="L30" s="4"/>
      <c r="M30" s="4"/>
    </row>
    <row r="31" spans="1:13" ht="12.75">
      <c r="A31" s="1"/>
      <c r="B31" s="70" t="s">
        <v>78</v>
      </c>
      <c r="C31" s="10">
        <f>C30*C29</f>
        <v>20000</v>
      </c>
      <c r="D31" s="10">
        <f>D30*D29</f>
        <v>6000</v>
      </c>
      <c r="E31" s="10">
        <f>E30*E29</f>
        <v>0</v>
      </c>
      <c r="F31" s="10">
        <f>F30*F29</f>
        <v>0</v>
      </c>
      <c r="G31" s="63">
        <f>G30*G29</f>
        <v>0</v>
      </c>
      <c r="L31" s="4"/>
      <c r="M31" s="4"/>
    </row>
    <row r="32" spans="1:13" ht="12.75">
      <c r="A32" s="1"/>
      <c r="B32" s="70" t="s">
        <v>75</v>
      </c>
      <c r="C32" s="10">
        <f>VLOOKUP(C28,Configuration!$A$78:$C$84,3,FALSE)</f>
        <v>0.285</v>
      </c>
      <c r="D32" s="10">
        <f>VLOOKUP(D28,Configuration!$A$78:$C$84,3,FALSE)</f>
        <v>0.546</v>
      </c>
      <c r="E32" s="10">
        <f>VLOOKUP(E28,Configuration!$A$78:$C$84,3,FALSE)</f>
        <v>0.125</v>
      </c>
      <c r="F32" s="10">
        <f>VLOOKUP(F28,Configuration!$A$78:$C$84,3,FALSE)</f>
        <v>0.285</v>
      </c>
      <c r="G32" s="63">
        <f>VLOOKUP(G28,Configuration!$A$78:$C$84,3,FALSE)</f>
        <v>0.546</v>
      </c>
      <c r="L32" s="4"/>
      <c r="M32" s="4"/>
    </row>
    <row r="33" spans="1:7" ht="12.75">
      <c r="A33" s="1"/>
      <c r="B33" s="70" t="s">
        <v>79</v>
      </c>
      <c r="C33" s="10">
        <f>C32*C31/1000</f>
        <v>5.699999999999999</v>
      </c>
      <c r="D33" s="10">
        <f>D32*D31/1000</f>
        <v>3.2760000000000002</v>
      </c>
      <c r="E33" s="10">
        <f>E32*E31/1000</f>
        <v>0</v>
      </c>
      <c r="F33" s="10">
        <f>F32*F31/1000</f>
        <v>0</v>
      </c>
      <c r="G33" s="63">
        <f>G32*G31/1000</f>
        <v>0</v>
      </c>
    </row>
    <row r="34" spans="1:11" ht="12.75">
      <c r="A34" s="1"/>
      <c r="B34" s="70" t="s">
        <v>13</v>
      </c>
      <c r="C34" s="10">
        <f>Configuration!$B$29</f>
        <v>2.7</v>
      </c>
      <c r="D34" s="10">
        <f>Configuration!$B$29</f>
        <v>2.7</v>
      </c>
      <c r="E34" s="10">
        <f>Configuration!$B$29</f>
        <v>2.7</v>
      </c>
      <c r="F34" s="10">
        <f>Configuration!$B$29</f>
        <v>2.7</v>
      </c>
      <c r="G34" s="63">
        <f>Configuration!$B$29</f>
        <v>2.7</v>
      </c>
      <c r="K34" s="4"/>
    </row>
    <row r="35" spans="1:11" ht="12.75">
      <c r="A35" s="1"/>
      <c r="B35" s="70" t="s">
        <v>14</v>
      </c>
      <c r="C35" s="10">
        <f>Configuration!$C$29</f>
        <v>0.2</v>
      </c>
      <c r="D35" s="10">
        <f>Configuration!$C$29</f>
        <v>0.2</v>
      </c>
      <c r="E35" s="10">
        <f>Configuration!$C$29</f>
        <v>0.2</v>
      </c>
      <c r="F35" s="10">
        <f>Configuration!$C$29</f>
        <v>0.2</v>
      </c>
      <c r="G35" s="63">
        <f>Configuration!$C$29</f>
        <v>0.2</v>
      </c>
      <c r="K35" s="4"/>
    </row>
    <row r="36" spans="1:11" ht="12.75">
      <c r="A36" s="1"/>
      <c r="B36" s="104" t="s">
        <v>102</v>
      </c>
      <c r="C36" s="105">
        <f aca="true" t="shared" si="0" ref="C36:G37">C34*C$33</f>
        <v>15.389999999999999</v>
      </c>
      <c r="D36" s="105">
        <f t="shared" si="0"/>
        <v>8.845200000000002</v>
      </c>
      <c r="E36" s="105">
        <f t="shared" si="0"/>
        <v>0</v>
      </c>
      <c r="F36" s="105">
        <f t="shared" si="0"/>
        <v>0</v>
      </c>
      <c r="G36" s="106">
        <f t="shared" si="0"/>
        <v>0</v>
      </c>
      <c r="K36" s="4"/>
    </row>
    <row r="37" spans="1:7" ht="12.75">
      <c r="A37" s="1"/>
      <c r="B37" s="104" t="s">
        <v>103</v>
      </c>
      <c r="C37" s="105">
        <f t="shared" si="0"/>
        <v>1.14</v>
      </c>
      <c r="D37" s="105">
        <f t="shared" si="0"/>
        <v>0.6552000000000001</v>
      </c>
      <c r="E37" s="105">
        <f t="shared" si="0"/>
        <v>0</v>
      </c>
      <c r="F37" s="105">
        <f t="shared" si="0"/>
        <v>0</v>
      </c>
      <c r="G37" s="106">
        <f t="shared" si="0"/>
        <v>0</v>
      </c>
    </row>
    <row r="38" spans="1:7" ht="13.5" thickBot="1">
      <c r="A38" s="1"/>
      <c r="B38" s="72" t="s">
        <v>3</v>
      </c>
      <c r="C38" s="111">
        <f>C37+C36</f>
        <v>16.529999999999998</v>
      </c>
      <c r="D38" s="111">
        <f>D37+D36</f>
        <v>9.500400000000003</v>
      </c>
      <c r="E38" s="111">
        <f>E37+E36</f>
        <v>0</v>
      </c>
      <c r="F38" s="111">
        <f>F37+F36</f>
        <v>0</v>
      </c>
      <c r="G38" s="112">
        <f>G37+G36</f>
        <v>0</v>
      </c>
    </row>
    <row r="39" spans="1:7" ht="12.75">
      <c r="A39" s="67"/>
      <c r="B39" s="107" t="s">
        <v>104</v>
      </c>
      <c r="C39" s="108" t="str">
        <f>IF(C38=SUM(C34:C35)*C33,"ok","error")</f>
        <v>ok</v>
      </c>
      <c r="D39" s="108" t="str">
        <f>IF(D38=SUM(D34:D35)*D33,"ok","error")</f>
        <v>ok</v>
      </c>
      <c r="E39" s="108" t="str">
        <f>IF(E38=SUM(E34:E35)*E33,"ok","error")</f>
        <v>ok</v>
      </c>
      <c r="F39" s="108" t="str">
        <f>IF(F38=SUM(F34:F35)*F33,"ok","error")</f>
        <v>ok</v>
      </c>
      <c r="G39" s="108" t="str">
        <f>IF(G38=SUM(G34:G35)*G33,"ok","error")</f>
        <v>ok</v>
      </c>
    </row>
    <row r="40" spans="1:13" s="4" customFormat="1" ht="13.5" thickBot="1">
      <c r="A40" s="1"/>
      <c r="B40" s="78" t="s">
        <v>155</v>
      </c>
      <c r="C40" s="18"/>
      <c r="D40"/>
      <c r="E40"/>
      <c r="F40"/>
      <c r="G40"/>
      <c r="H40"/>
      <c r="I40"/>
      <c r="J40"/>
      <c r="K40"/>
      <c r="L40"/>
      <c r="M40"/>
    </row>
    <row r="41" spans="1:15" s="4" customFormat="1" ht="12.75">
      <c r="A41" s="1"/>
      <c r="B41" s="92"/>
      <c r="C41" s="179" t="s">
        <v>90</v>
      </c>
      <c r="D41" s="179" t="s">
        <v>91</v>
      </c>
      <c r="E41" s="179" t="s">
        <v>92</v>
      </c>
      <c r="F41" s="179" t="s">
        <v>93</v>
      </c>
      <c r="G41" s="243" t="s">
        <v>94</v>
      </c>
      <c r="H41"/>
      <c r="I41"/>
      <c r="J41"/>
      <c r="K41"/>
      <c r="L41"/>
      <c r="M41"/>
      <c r="O41"/>
    </row>
    <row r="42" spans="1:7" ht="12.75">
      <c r="A42" s="1"/>
      <c r="B42" s="182" t="s">
        <v>76</v>
      </c>
      <c r="C42" s="9">
        <v>0</v>
      </c>
      <c r="D42" s="9">
        <v>0</v>
      </c>
      <c r="E42" s="9">
        <v>0</v>
      </c>
      <c r="F42" s="9">
        <v>0</v>
      </c>
      <c r="G42" s="71">
        <v>0</v>
      </c>
    </row>
    <row r="43" spans="1:13" ht="12.75">
      <c r="A43" s="1"/>
      <c r="B43" s="182" t="s">
        <v>77</v>
      </c>
      <c r="C43" s="9">
        <v>50</v>
      </c>
      <c r="D43" s="9">
        <v>50</v>
      </c>
      <c r="E43" s="9">
        <v>50</v>
      </c>
      <c r="F43" s="9">
        <v>50</v>
      </c>
      <c r="G43" s="71">
        <v>50</v>
      </c>
      <c r="L43" s="4"/>
      <c r="M43" s="4"/>
    </row>
    <row r="44" spans="1:13" ht="12.75">
      <c r="A44" s="1"/>
      <c r="B44" s="70" t="s">
        <v>78</v>
      </c>
      <c r="C44" s="10">
        <f>C43*C42</f>
        <v>0</v>
      </c>
      <c r="D44" s="10">
        <f>D43*D42</f>
        <v>0</v>
      </c>
      <c r="E44" s="10">
        <f>E43*E42</f>
        <v>0</v>
      </c>
      <c r="F44" s="10">
        <f>F43*F42</f>
        <v>0</v>
      </c>
      <c r="G44" s="63">
        <f>G43*G42</f>
        <v>0</v>
      </c>
      <c r="L44" s="4"/>
      <c r="M44" s="4"/>
    </row>
    <row r="45" spans="1:13" ht="12.75">
      <c r="A45" s="1"/>
      <c r="B45" s="70" t="s">
        <v>75</v>
      </c>
      <c r="C45" s="10">
        <v>2</v>
      </c>
      <c r="D45" s="10">
        <v>2</v>
      </c>
      <c r="E45" s="10">
        <v>2</v>
      </c>
      <c r="F45" s="10">
        <v>2</v>
      </c>
      <c r="G45" s="63">
        <v>2</v>
      </c>
      <c r="L45" s="4"/>
      <c r="M45" s="4"/>
    </row>
    <row r="46" spans="1:7" ht="12.75">
      <c r="A46" s="1"/>
      <c r="B46" s="70" t="s">
        <v>79</v>
      </c>
      <c r="C46" s="10">
        <f>C45*C44/1000</f>
        <v>0</v>
      </c>
      <c r="D46" s="10">
        <f>D45*D44/1000</f>
        <v>0</v>
      </c>
      <c r="E46" s="10">
        <f>E45*E44/1000</f>
        <v>0</v>
      </c>
      <c r="F46" s="10">
        <f>F45*F44/1000</f>
        <v>0</v>
      </c>
      <c r="G46" s="63">
        <f>G45*G44/1000</f>
        <v>0</v>
      </c>
    </row>
    <row r="47" spans="1:11" ht="12.75">
      <c r="A47" s="1"/>
      <c r="B47" s="70" t="s">
        <v>13</v>
      </c>
      <c r="C47" s="10">
        <f>Configuration!$B$29</f>
        <v>2.7</v>
      </c>
      <c r="D47" s="10">
        <f>Configuration!$B$29</f>
        <v>2.7</v>
      </c>
      <c r="E47" s="10">
        <f>Configuration!$B$29</f>
        <v>2.7</v>
      </c>
      <c r="F47" s="10">
        <f>Configuration!$B$29</f>
        <v>2.7</v>
      </c>
      <c r="G47" s="63">
        <f>Configuration!$B$29</f>
        <v>2.7</v>
      </c>
      <c r="K47" s="4"/>
    </row>
    <row r="48" spans="1:11" ht="12.75">
      <c r="A48" s="1"/>
      <c r="B48" s="70" t="s">
        <v>14</v>
      </c>
      <c r="C48" s="10">
        <f>Configuration!$C$29</f>
        <v>0.2</v>
      </c>
      <c r="D48" s="10">
        <f>Configuration!$C$29</f>
        <v>0.2</v>
      </c>
      <c r="E48" s="10">
        <f>Configuration!$C$29</f>
        <v>0.2</v>
      </c>
      <c r="F48" s="10">
        <f>Configuration!$C$29</f>
        <v>0.2</v>
      </c>
      <c r="G48" s="63">
        <f>Configuration!$C$29</f>
        <v>0.2</v>
      </c>
      <c r="K48" s="4"/>
    </row>
    <row r="49" spans="1:11" ht="12.75">
      <c r="A49" s="1"/>
      <c r="B49" s="104" t="s">
        <v>102</v>
      </c>
      <c r="C49" s="105">
        <f aca="true" t="shared" si="1" ref="C49:G50">C47*C$46</f>
        <v>0</v>
      </c>
      <c r="D49" s="105">
        <f t="shared" si="1"/>
        <v>0</v>
      </c>
      <c r="E49" s="105">
        <f t="shared" si="1"/>
        <v>0</v>
      </c>
      <c r="F49" s="105">
        <f t="shared" si="1"/>
        <v>0</v>
      </c>
      <c r="G49" s="105">
        <f t="shared" si="1"/>
        <v>0</v>
      </c>
      <c r="K49" s="4"/>
    </row>
    <row r="50" spans="1:7" ht="12.75">
      <c r="A50" s="1"/>
      <c r="B50" s="104" t="s">
        <v>103</v>
      </c>
      <c r="C50" s="105">
        <f t="shared" si="1"/>
        <v>0</v>
      </c>
      <c r="D50" s="105">
        <f t="shared" si="1"/>
        <v>0</v>
      </c>
      <c r="E50" s="105">
        <f t="shared" si="1"/>
        <v>0</v>
      </c>
      <c r="F50" s="105">
        <f t="shared" si="1"/>
        <v>0</v>
      </c>
      <c r="G50" s="105">
        <f t="shared" si="1"/>
        <v>0</v>
      </c>
    </row>
    <row r="51" spans="1:7" ht="13.5" thickBot="1">
      <c r="A51" s="1"/>
      <c r="B51" s="72" t="s">
        <v>3</v>
      </c>
      <c r="C51" s="111">
        <f>C50+C49</f>
        <v>0</v>
      </c>
      <c r="D51" s="111">
        <f>D50+D49</f>
        <v>0</v>
      </c>
      <c r="E51" s="111">
        <f>E50+E49</f>
        <v>0</v>
      </c>
      <c r="F51" s="111">
        <f>F50+F49</f>
        <v>0</v>
      </c>
      <c r="G51" s="112">
        <f>G50+G49</f>
        <v>0</v>
      </c>
    </row>
    <row r="52" spans="1:7" ht="12.75">
      <c r="A52" s="1"/>
      <c r="B52" s="78"/>
      <c r="C52" s="157"/>
      <c r="D52" s="157"/>
      <c r="E52" s="157"/>
      <c r="F52" s="157"/>
      <c r="G52" s="157"/>
    </row>
    <row r="53" spans="1:2" ht="13.5" thickBot="1">
      <c r="A53" s="67"/>
      <c r="B53" s="3" t="s">
        <v>84</v>
      </c>
    </row>
    <row r="54" spans="1:7" ht="12.75">
      <c r="A54" s="67"/>
      <c r="B54" s="92"/>
      <c r="C54" s="100" t="s">
        <v>85</v>
      </c>
      <c r="D54" s="100" t="s">
        <v>86</v>
      </c>
      <c r="E54" s="100" t="s">
        <v>87</v>
      </c>
      <c r="F54" s="100" t="s">
        <v>88</v>
      </c>
      <c r="G54" s="101" t="s">
        <v>89</v>
      </c>
    </row>
    <row r="55" spans="1:10" ht="12.75">
      <c r="A55" s="1"/>
      <c r="B55" s="181" t="s">
        <v>54</v>
      </c>
      <c r="C55" s="94" t="s">
        <v>71</v>
      </c>
      <c r="D55" s="94" t="s">
        <v>71</v>
      </c>
      <c r="E55" s="94" t="s">
        <v>71</v>
      </c>
      <c r="F55" s="94" t="s">
        <v>71</v>
      </c>
      <c r="G55" s="98" t="s">
        <v>71</v>
      </c>
      <c r="H55" s="4"/>
      <c r="I55" s="4"/>
      <c r="J55" s="4"/>
    </row>
    <row r="56" spans="1:10" ht="12.75">
      <c r="A56" s="1"/>
      <c r="B56" s="183" t="s">
        <v>6</v>
      </c>
      <c r="C56" s="94"/>
      <c r="D56" s="94"/>
      <c r="E56" s="94"/>
      <c r="F56" s="94"/>
      <c r="G56" s="98"/>
      <c r="H56" s="4"/>
      <c r="I56" s="4"/>
      <c r="J56" s="4"/>
    </row>
    <row r="57" spans="1:10" ht="12.75">
      <c r="A57" s="1"/>
      <c r="B57" s="183" t="s">
        <v>83</v>
      </c>
      <c r="C57" s="94">
        <v>10000</v>
      </c>
      <c r="D57" s="94">
        <v>10000</v>
      </c>
      <c r="E57" s="94">
        <v>10000</v>
      </c>
      <c r="F57" s="94">
        <v>10000</v>
      </c>
      <c r="G57" s="98">
        <v>10000</v>
      </c>
      <c r="H57" s="4"/>
      <c r="I57" s="4"/>
      <c r="J57" s="4"/>
    </row>
    <row r="58" spans="1:7" ht="12.75">
      <c r="A58" s="1"/>
      <c r="B58" s="76" t="s">
        <v>72</v>
      </c>
      <c r="C58" s="95">
        <f>C57*C56</f>
        <v>0</v>
      </c>
      <c r="D58" s="95">
        <f>D57*D56</f>
        <v>0</v>
      </c>
      <c r="E58" s="95">
        <f>E57*E56</f>
        <v>0</v>
      </c>
      <c r="F58" s="95">
        <f>F57*F56</f>
        <v>0</v>
      </c>
      <c r="G58" s="77">
        <f>G57*G56</f>
        <v>0</v>
      </c>
    </row>
    <row r="59" spans="1:7" ht="12.75">
      <c r="A59" s="1"/>
      <c r="B59" s="183" t="s">
        <v>73</v>
      </c>
      <c r="C59" s="96">
        <v>0.2</v>
      </c>
      <c r="D59" s="96">
        <v>0.2</v>
      </c>
      <c r="E59" s="96">
        <v>0.2</v>
      </c>
      <c r="F59" s="96">
        <v>0.2</v>
      </c>
      <c r="G59" s="73">
        <v>0.2</v>
      </c>
    </row>
    <row r="60" spans="1:7" ht="12.75">
      <c r="A60" s="1"/>
      <c r="B60" s="76" t="s">
        <v>15</v>
      </c>
      <c r="C60" s="97">
        <f>VLOOKUP(C55,Configuration!$A$5:$C$12,2,FALSE)</f>
        <v>1.23</v>
      </c>
      <c r="D60" s="97">
        <f>VLOOKUP(D55,Configuration!$A$5:$C$12,2,FALSE)</f>
        <v>1.23</v>
      </c>
      <c r="E60" s="97">
        <f>VLOOKUP(E55,Configuration!$A$5:$C$12,2,FALSE)</f>
        <v>1.23</v>
      </c>
      <c r="F60" s="97">
        <f>VLOOKUP(F55,Configuration!$A$5:$C$12,2,FALSE)</f>
        <v>1.23</v>
      </c>
      <c r="G60" s="74">
        <f>VLOOKUP(G55,Configuration!$A$5:$C$12,2,FALSE)</f>
        <v>1.23</v>
      </c>
    </row>
    <row r="61" spans="1:7" ht="12.75">
      <c r="A61" s="1"/>
      <c r="B61" s="76" t="s">
        <v>16</v>
      </c>
      <c r="C61" s="97">
        <f>VLOOKUP(C55,Configuration!$A$5:$C$12,3,FALSE)</f>
        <v>0.14</v>
      </c>
      <c r="D61" s="97">
        <f>VLOOKUP(D55,Configuration!$A$5:$C$12,3,FALSE)</f>
        <v>0.14</v>
      </c>
      <c r="E61" s="97">
        <f>VLOOKUP(E55,Configuration!$A$5:$C$12,3,FALSE)</f>
        <v>0.14</v>
      </c>
      <c r="F61" s="97">
        <f>VLOOKUP(F55,Configuration!$A$5:$C$12,3,FALSE)</f>
        <v>0.14</v>
      </c>
      <c r="G61" s="74">
        <f>VLOOKUP(G55,Configuration!$A$5:$C$12,3,FALSE)</f>
        <v>0.14</v>
      </c>
    </row>
    <row r="62" spans="1:7" ht="12.75">
      <c r="A62" s="1"/>
      <c r="B62" s="104" t="s">
        <v>105</v>
      </c>
      <c r="C62" s="105">
        <f aca="true" t="shared" si="2" ref="C62:G63">C60*(1-C$59)*C$58/1000</f>
        <v>0</v>
      </c>
      <c r="D62" s="109">
        <f t="shared" si="2"/>
        <v>0</v>
      </c>
      <c r="E62" s="109">
        <f t="shared" si="2"/>
        <v>0</v>
      </c>
      <c r="F62" s="109">
        <f t="shared" si="2"/>
        <v>0</v>
      </c>
      <c r="G62" s="110">
        <f t="shared" si="2"/>
        <v>0</v>
      </c>
    </row>
    <row r="63" spans="1:7" ht="12.75">
      <c r="A63" s="1"/>
      <c r="B63" s="104" t="s">
        <v>103</v>
      </c>
      <c r="C63" s="105">
        <f t="shared" si="2"/>
        <v>0</v>
      </c>
      <c r="D63" s="109">
        <f t="shared" si="2"/>
        <v>0</v>
      </c>
      <c r="E63" s="109">
        <f t="shared" si="2"/>
        <v>0</v>
      </c>
      <c r="F63" s="109">
        <f t="shared" si="2"/>
        <v>0</v>
      </c>
      <c r="G63" s="110">
        <f t="shared" si="2"/>
        <v>0</v>
      </c>
    </row>
    <row r="64" spans="1:7" ht="13.5" thickBot="1">
      <c r="A64" s="1"/>
      <c r="B64" s="72" t="s">
        <v>3</v>
      </c>
      <c r="C64" s="99">
        <f>SUM(C61,C60)*(1-C59)*C58/1000</f>
        <v>0</v>
      </c>
      <c r="D64" s="99">
        <f>SUM(D61,D60)*(1-D59)*D58/1000</f>
        <v>0</v>
      </c>
      <c r="E64" s="99">
        <f>SUM(E61,E60)*(1-E59)*E58/1000</f>
        <v>0</v>
      </c>
      <c r="F64" s="99">
        <f>SUM(F61,F60)*(1-F59)*F58/1000</f>
        <v>0</v>
      </c>
      <c r="G64" s="75">
        <f>SUM(G61,G60)*(1-G59)*G58/1000</f>
        <v>0</v>
      </c>
    </row>
    <row r="65" spans="1:7" ht="12.75">
      <c r="A65" s="1"/>
      <c r="B65" s="107" t="s">
        <v>104</v>
      </c>
      <c r="C65" s="108" t="str">
        <f>IF(C64=C63+C62,"ok","error")</f>
        <v>ok</v>
      </c>
      <c r="D65" s="108" t="str">
        <f>IF(D64=D63+D62,"ok","error")</f>
        <v>ok</v>
      </c>
      <c r="E65" s="108" t="str">
        <f>IF(E64=E63+E62,"ok","error")</f>
        <v>ok</v>
      </c>
      <c r="F65" s="108" t="str">
        <f>IF(F64=F63+F62,"ok","error")</f>
        <v>ok</v>
      </c>
      <c r="G65" s="108" t="str">
        <f>IF(G64=G63+G62,"ok","error")</f>
        <v>ok</v>
      </c>
    </row>
    <row r="66" spans="1:5" ht="12.75">
      <c r="A66" s="1"/>
      <c r="B66" s="68"/>
      <c r="C66" s="66"/>
      <c r="D66" s="66"/>
      <c r="E66" s="66"/>
    </row>
    <row r="67" ht="13.5" thickBot="1">
      <c r="B67" s="68" t="s">
        <v>40</v>
      </c>
    </row>
    <row r="68" spans="2:7" ht="12.75">
      <c r="B68" s="92"/>
      <c r="C68" s="85" t="s">
        <v>41</v>
      </c>
      <c r="D68" s="85" t="s">
        <v>42</v>
      </c>
      <c r="E68" s="85" t="s">
        <v>43</v>
      </c>
      <c r="F68" s="85" t="s">
        <v>44</v>
      </c>
      <c r="G68" s="80" t="s">
        <v>45</v>
      </c>
    </row>
    <row r="69" spans="2:7" ht="12.75">
      <c r="B69" s="182" t="s">
        <v>5</v>
      </c>
      <c r="C69" s="9" t="s">
        <v>24</v>
      </c>
      <c r="D69" s="9" t="s">
        <v>147</v>
      </c>
      <c r="E69" s="9" t="s">
        <v>24</v>
      </c>
      <c r="F69" s="9" t="s">
        <v>152</v>
      </c>
      <c r="G69" s="71" t="s">
        <v>24</v>
      </c>
    </row>
    <row r="70" spans="2:7" ht="12.75">
      <c r="B70" s="183" t="s">
        <v>37</v>
      </c>
      <c r="C70" s="9"/>
      <c r="D70" s="9"/>
      <c r="E70" s="9"/>
      <c r="F70" s="9"/>
      <c r="G70" s="71"/>
    </row>
    <row r="71" spans="2:7" ht="12.75">
      <c r="B71" s="76" t="s">
        <v>80</v>
      </c>
      <c r="C71" s="10">
        <f>VLOOKUP(C69,Configuration!$A$42:$D$59,2,FALSE)</f>
        <v>67.22</v>
      </c>
      <c r="D71" s="10">
        <f>VLOOKUP(D69,Configuration!$A$42:$D$59,2,FALSE)</f>
        <v>80.5</v>
      </c>
      <c r="E71" s="10">
        <f>VLOOKUP(E69,Configuration!$A$42:$D$59,2,FALSE)</f>
        <v>67.22</v>
      </c>
      <c r="F71" s="10">
        <f>VLOOKUP(F69,Configuration!$A$42:$D$59,2,FALSE)</f>
        <v>0.7</v>
      </c>
      <c r="G71" s="63">
        <f>VLOOKUP(G69,Configuration!$A$42:$D$59,2,FALSE)</f>
        <v>67.22</v>
      </c>
    </row>
    <row r="72" spans="2:7" ht="12.75">
      <c r="B72" s="76" t="s">
        <v>82</v>
      </c>
      <c r="C72" s="10">
        <f>C71*3.6*C70</f>
        <v>0</v>
      </c>
      <c r="D72" s="10">
        <f>D71*3.6*D70</f>
        <v>0</v>
      </c>
      <c r="E72" s="10">
        <f>E71*3.6*E70</f>
        <v>0</v>
      </c>
      <c r="F72" s="10">
        <f>F71*3.6*F70</f>
        <v>0</v>
      </c>
      <c r="G72" s="63">
        <f>G71*3.6*G70</f>
        <v>0</v>
      </c>
    </row>
    <row r="73" spans="2:7" ht="12.75">
      <c r="B73" s="76" t="s">
        <v>81</v>
      </c>
      <c r="C73" s="10">
        <f>Configuration!$B$7+Configuration!$C$7</f>
        <v>1.37</v>
      </c>
      <c r="D73" s="10">
        <f>Configuration!$B$7+Configuration!$C$7</f>
        <v>1.37</v>
      </c>
      <c r="E73" s="10">
        <f>Configuration!$B$7+Configuration!$C$7</f>
        <v>1.37</v>
      </c>
      <c r="F73" s="10">
        <f>Configuration!$B$7+Configuration!$C$7</f>
        <v>1.37</v>
      </c>
      <c r="G73" s="63">
        <f>Configuration!$B$7+Configuration!$C$7</f>
        <v>1.37</v>
      </c>
    </row>
    <row r="74" spans="2:7" ht="13.5" thickBot="1">
      <c r="B74" s="90" t="s">
        <v>74</v>
      </c>
      <c r="C74" s="111">
        <f>C73*C72/1000/$C$24</f>
        <v>0</v>
      </c>
      <c r="D74" s="111">
        <f>D73*D72/1000/$C$24</f>
        <v>0</v>
      </c>
      <c r="E74" s="111">
        <f>E73*E72/1000/$C$24</f>
        <v>0</v>
      </c>
      <c r="F74" s="111">
        <f>F73*F72/1000/$C$24</f>
        <v>0</v>
      </c>
      <c r="G74" s="112">
        <f>G73*G72/1000/$C$24</f>
        <v>0</v>
      </c>
    </row>
    <row r="75" spans="2:12" ht="12.75">
      <c r="B75" s="167" t="s">
        <v>207</v>
      </c>
      <c r="C75" s="165"/>
      <c r="D75" s="165"/>
      <c r="E75" s="165"/>
      <c r="F75" s="165"/>
      <c r="G75" s="165"/>
      <c r="H75" s="65"/>
      <c r="I75" s="65"/>
      <c r="J75" s="65"/>
      <c r="K75" s="65"/>
      <c r="L75" s="65"/>
    </row>
    <row r="76" spans="2:6" ht="12.75">
      <c r="B76" s="168" t="s">
        <v>208</v>
      </c>
      <c r="C76" s="18"/>
      <c r="D76" s="18"/>
      <c r="E76" s="18"/>
      <c r="F76" s="18"/>
    </row>
    <row r="77" spans="2:6" ht="12.75">
      <c r="B77" s="168"/>
      <c r="C77" s="18"/>
      <c r="D77" s="18"/>
      <c r="E77" s="18"/>
      <c r="F77" s="18"/>
    </row>
    <row r="78" ht="13.5" thickBot="1">
      <c r="B78" s="3" t="s">
        <v>167</v>
      </c>
    </row>
    <row r="79" spans="2:7" ht="12.75">
      <c r="B79" s="92"/>
      <c r="C79" s="100" t="s">
        <v>96</v>
      </c>
      <c r="D79" s="100" t="s">
        <v>97</v>
      </c>
      <c r="E79" s="100" t="s">
        <v>98</v>
      </c>
      <c r="F79" s="100" t="s">
        <v>99</v>
      </c>
      <c r="G79" s="101" t="s">
        <v>100</v>
      </c>
    </row>
    <row r="80" spans="2:7" ht="12.75">
      <c r="B80" s="76" t="s">
        <v>54</v>
      </c>
      <c r="C80" s="94" t="s">
        <v>71</v>
      </c>
      <c r="D80" s="94" t="s">
        <v>71</v>
      </c>
      <c r="E80" s="94" t="s">
        <v>71</v>
      </c>
      <c r="F80" s="94" t="s">
        <v>71</v>
      </c>
      <c r="G80" s="98" t="s">
        <v>71</v>
      </c>
    </row>
    <row r="81" spans="2:7" ht="12.75">
      <c r="B81" s="76" t="s">
        <v>168</v>
      </c>
      <c r="C81" s="94"/>
      <c r="D81" s="94"/>
      <c r="E81" s="94"/>
      <c r="F81" s="94"/>
      <c r="G81" s="98"/>
    </row>
    <row r="82" spans="2:7" ht="12.75">
      <c r="B82" s="76" t="s">
        <v>83</v>
      </c>
      <c r="C82" s="94">
        <v>10000</v>
      </c>
      <c r="D82" s="94">
        <v>10000</v>
      </c>
      <c r="E82" s="94">
        <v>10000</v>
      </c>
      <c r="F82" s="94">
        <v>10000</v>
      </c>
      <c r="G82" s="98">
        <v>10000</v>
      </c>
    </row>
    <row r="83" spans="2:7" ht="12.75">
      <c r="B83" s="76" t="s">
        <v>169</v>
      </c>
      <c r="C83" s="95">
        <f>C82*C81</f>
        <v>0</v>
      </c>
      <c r="D83" s="95">
        <f>D82*D81</f>
        <v>0</v>
      </c>
      <c r="E83" s="95">
        <f>E82*E81</f>
        <v>0</v>
      </c>
      <c r="F83" s="95">
        <f>F82*F81</f>
        <v>0</v>
      </c>
      <c r="G83" s="77">
        <f>G82*G81</f>
        <v>0</v>
      </c>
    </row>
    <row r="84" spans="2:7" ht="12.75">
      <c r="B84" s="76" t="s">
        <v>170</v>
      </c>
      <c r="C84" s="97">
        <f>VLOOKUP(C80,Configuration!$A$16:$C$24,2,FALSE)</f>
        <v>51.3</v>
      </c>
      <c r="D84" s="97">
        <f>VLOOKUP(D80,Configuration!$A$5:$C$12,2,FALSE)</f>
        <v>1.23</v>
      </c>
      <c r="E84" s="97">
        <f>VLOOKUP(E80,Configuration!$A$5:$C$12,2,FALSE)</f>
        <v>1.23</v>
      </c>
      <c r="F84" s="97">
        <f>VLOOKUP(F80,Configuration!$A$5:$C$12,2,FALSE)</f>
        <v>1.23</v>
      </c>
      <c r="G84" s="74">
        <f>VLOOKUP(G80,Configuration!$A$5:$C$12,2,FALSE)</f>
        <v>1.23</v>
      </c>
    </row>
    <row r="85" spans="2:7" ht="12.75">
      <c r="B85" s="76" t="s">
        <v>171</v>
      </c>
      <c r="C85" s="97">
        <f>VLOOKUP(C80,Configuration!$A$16:$C$24,3,FALSE)</f>
        <v>5.9</v>
      </c>
      <c r="D85" s="97">
        <f>VLOOKUP(D80,Configuration!$A$5:$C$12,3,FALSE)</f>
        <v>0.14</v>
      </c>
      <c r="E85" s="97">
        <f>VLOOKUP(E80,Configuration!$A$5:$C$12,3,FALSE)</f>
        <v>0.14</v>
      </c>
      <c r="F85" s="97">
        <f>VLOOKUP(F80,Configuration!$A$5:$C$12,3,FALSE)</f>
        <v>0.14</v>
      </c>
      <c r="G85" s="74">
        <f>VLOOKUP(G80,Configuration!$A$5:$C$12,3,FALSE)</f>
        <v>0.14</v>
      </c>
    </row>
    <row r="86" spans="2:7" ht="12.75">
      <c r="B86" s="104" t="s">
        <v>102</v>
      </c>
      <c r="C86" s="105">
        <f aca="true" t="shared" si="3" ref="C86:G87">C84*(C$83/1000)/1000</f>
        <v>0</v>
      </c>
      <c r="D86" s="109">
        <f t="shared" si="3"/>
        <v>0</v>
      </c>
      <c r="E86" s="109">
        <f t="shared" si="3"/>
        <v>0</v>
      </c>
      <c r="F86" s="109">
        <f t="shared" si="3"/>
        <v>0</v>
      </c>
      <c r="G86" s="110">
        <f t="shared" si="3"/>
        <v>0</v>
      </c>
    </row>
    <row r="87" spans="2:7" ht="12.75">
      <c r="B87" s="104" t="s">
        <v>103</v>
      </c>
      <c r="C87" s="105">
        <f t="shared" si="3"/>
        <v>0</v>
      </c>
      <c r="D87" s="109">
        <f t="shared" si="3"/>
        <v>0</v>
      </c>
      <c r="E87" s="109">
        <f t="shared" si="3"/>
        <v>0</v>
      </c>
      <c r="F87" s="109">
        <f t="shared" si="3"/>
        <v>0</v>
      </c>
      <c r="G87" s="110">
        <f t="shared" si="3"/>
        <v>0</v>
      </c>
    </row>
    <row r="88" spans="2:7" ht="13.5" thickBot="1">
      <c r="B88" s="72" t="s">
        <v>3</v>
      </c>
      <c r="C88" s="99">
        <f>SUM(C87,C86)</f>
        <v>0</v>
      </c>
      <c r="D88" s="99">
        <f>SUM(D87,D86)</f>
        <v>0</v>
      </c>
      <c r="E88" s="99">
        <f>SUM(E87,E86)</f>
        <v>0</v>
      </c>
      <c r="F88" s="99">
        <f>SUM(F87,F86)</f>
        <v>0</v>
      </c>
      <c r="G88" s="99">
        <f>SUM(G87,G86)</f>
        <v>0</v>
      </c>
    </row>
    <row r="137" ht="12.75">
      <c r="B137" t="s">
        <v>17</v>
      </c>
    </row>
    <row r="138" ht="12.75">
      <c r="B138"/>
    </row>
    <row r="139" ht="12.75">
      <c r="B139" s="81" t="str">
        <f>Configuration!A5</f>
        <v>NSW</v>
      </c>
    </row>
    <row r="140" ht="12.75">
      <c r="B140" s="81" t="str">
        <f>Configuration!A6</f>
        <v>ACT</v>
      </c>
    </row>
    <row r="141" ht="12.75">
      <c r="B141" s="81" t="str">
        <f>Configuration!A7</f>
        <v>VIC</v>
      </c>
    </row>
    <row r="142" ht="12.75">
      <c r="B142" s="81" t="str">
        <f>Configuration!A8</f>
        <v>QLD</v>
      </c>
    </row>
    <row r="143" ht="12.75">
      <c r="B143" s="81" t="str">
        <f>Configuration!A9</f>
        <v>SA</v>
      </c>
    </row>
    <row r="144" ht="12.75">
      <c r="B144" s="81" t="str">
        <f>Configuration!A10</f>
        <v>WA</v>
      </c>
    </row>
    <row r="145" ht="12.75">
      <c r="B145" s="81" t="str">
        <f>Configuration!A11</f>
        <v>TAS</v>
      </c>
    </row>
    <row r="146" ht="12.75">
      <c r="B146" s="81" t="str">
        <f>Configuration!A12</f>
        <v>NT</v>
      </c>
    </row>
    <row r="147" ht="12.75">
      <c r="B147" s="81" t="str">
        <f>Configuration!A13</f>
        <v>Source: National Greenhouse and Energy Reporting System "Technical Guidelines for the estimation of Greenhouse Emissions and Energy at Facility Level", Dec 07</v>
      </c>
    </row>
    <row r="148" ht="12.75">
      <c r="B148" s="81" t="str">
        <f>Configuration!A43</f>
        <v>Hardboard</v>
      </c>
    </row>
    <row r="149" ht="12.75">
      <c r="B149" s="81" t="str">
        <f>Configuration!A44</f>
        <v>Concrete</v>
      </c>
    </row>
    <row r="150" ht="12.75">
      <c r="B150" s="81" t="str">
        <f>Configuration!A45</f>
        <v>Cement</v>
      </c>
    </row>
    <row r="151" ht="12.75">
      <c r="B151" s="81" t="str">
        <f>Configuration!A46</f>
        <v>PVC</v>
      </c>
    </row>
    <row r="152" ht="12.75">
      <c r="B152" s="81" t="str">
        <f>Configuration!A47</f>
        <v>Glass</v>
      </c>
    </row>
    <row r="153" ht="12.75">
      <c r="B153" s="81" t="str">
        <f>Configuration!A48</f>
        <v>Aluminium</v>
      </c>
    </row>
    <row r="154" ht="12.75">
      <c r="B154" s="81" t="str">
        <f>Configuration!A49</f>
        <v>Gravel</v>
      </c>
    </row>
    <row r="155" ht="12.75">
      <c r="B155" s="81" t="str">
        <f>Configuration!A50</f>
        <v>Copper</v>
      </c>
    </row>
    <row r="156" ht="12.75">
      <c r="B156" s="81" t="str">
        <f>Configuration!A51</f>
        <v>Galvanised Steel</v>
      </c>
    </row>
    <row r="157" ht="12.75">
      <c r="B157" s="81" t="str">
        <f>Configuration!A52</f>
        <v>Particleboard</v>
      </c>
    </row>
    <row r="158" ht="12.75">
      <c r="B158" s="81" t="str">
        <f>Configuration!A53</f>
        <v>Plywood</v>
      </c>
    </row>
    <row r="159" ht="12.75">
      <c r="B159" s="81" t="str">
        <f>Configuration!A54</f>
        <v>Plastics</v>
      </c>
    </row>
    <row r="160" ht="12.75">
      <c r="B160" s="81" t="str">
        <f>Configuration!A55</f>
        <v>Synthetic rubber</v>
      </c>
    </row>
    <row r="161" ht="12.75">
      <c r="B161" s="81" t="str">
        <f>Configuration!A56</f>
        <v>Acrylic paint</v>
      </c>
    </row>
    <row r="162" ht="12.75">
      <c r="B162" s="81" t="str">
        <f>Configuration!A57</f>
        <v>Plasterboard</v>
      </c>
    </row>
    <row r="163" ht="12.75">
      <c r="B163" s="81" t="str">
        <f>Configuration!A58</f>
        <v>Clay bricks</v>
      </c>
    </row>
    <row r="164" ht="12.75">
      <c r="B164" s="81" t="str">
        <f>Configuration!A59</f>
        <v>stabilised earth</v>
      </c>
    </row>
    <row r="165" ht="12.75">
      <c r="B165" s="81">
        <f>Configuration!A60</f>
        <v>0</v>
      </c>
    </row>
    <row r="166" ht="12.75">
      <c r="B166" s="81" t="str">
        <f>Configuration!A61</f>
        <v>Wastewater treatment emissions variables and default values</v>
      </c>
    </row>
    <row r="167" ht="12.75">
      <c r="B167" s="81" t="str">
        <f>Configuration!A62</f>
        <v>Treatment Type</v>
      </c>
    </row>
    <row r="168" ht="12.75">
      <c r="B168" s="81" t="str">
        <f>Configuration!A63</f>
        <v>Managed aerobic</v>
      </c>
    </row>
    <row r="169" ht="12.75">
      <c r="B169" s="81" t="str">
        <f>Configuration!A64</f>
        <v>Unmanaged aerobic</v>
      </c>
    </row>
    <row r="170" ht="12.75">
      <c r="B170" s="81"/>
    </row>
    <row r="171" ht="12.75">
      <c r="B171" s="81"/>
    </row>
  </sheetData>
  <sheetProtection/>
  <mergeCells count="4">
    <mergeCell ref="B11:B13"/>
    <mergeCell ref="B14:C14"/>
    <mergeCell ref="B15:C15"/>
    <mergeCell ref="B8:B10"/>
  </mergeCells>
  <dataValidations count="4">
    <dataValidation type="list" allowBlank="1" showInputMessage="1" showErrorMessage="1" sqref="C55:G55">
      <formula1>$B$139:$B$142</formula1>
    </dataValidation>
    <dataValidation type="list" allowBlank="1" showInputMessage="1" showErrorMessage="1" sqref="C69:G69">
      <formula1>$B$148:$B$163</formula1>
    </dataValidation>
    <dataValidation type="list" allowBlank="1" showInputMessage="1" showErrorMessage="1" sqref="C80:G80">
      <formula1>$B$139:$B$146</formula1>
    </dataValidation>
    <dataValidation type="list" allowBlank="1" showInputMessage="1" showErrorMessage="1" sqref="C28:G28">
      <formula1>$B$164:$B$169</formula1>
    </dataValidation>
  </dataValidation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7"/>
  </sheetPr>
  <dimension ref="A1:M150"/>
  <sheetViews>
    <sheetView showGridLines="0" zoomScale="90" zoomScaleNormal="90" zoomScalePageLayoutView="0" workbookViewId="0" topLeftCell="A16">
      <selection activeCell="C60" sqref="C60"/>
    </sheetView>
  </sheetViews>
  <sheetFormatPr defaultColWidth="9.140625" defaultRowHeight="12.75"/>
  <cols>
    <col min="1" max="1" width="5.140625" style="0" customWidth="1"/>
    <col min="2" max="2" width="53.140625" style="2" customWidth="1"/>
    <col min="3" max="3" width="24.421875" style="0" customWidth="1"/>
    <col min="4" max="4" width="21.28125" style="0" customWidth="1"/>
    <col min="5" max="5" width="23.00390625" style="0" customWidth="1"/>
    <col min="6" max="7" width="19.140625" style="0" customWidth="1"/>
  </cols>
  <sheetData>
    <row r="1" spans="1:5" ht="15.75" thickBot="1">
      <c r="A1" s="47"/>
      <c r="B1" s="116" t="s">
        <v>108</v>
      </c>
      <c r="C1" s="115" t="s">
        <v>109</v>
      </c>
      <c r="D1" s="49"/>
      <c r="E1" s="48"/>
    </row>
    <row r="2" ht="13.5" thickBot="1"/>
    <row r="3" spans="1:4" ht="128.25" thickBot="1">
      <c r="A3" s="1"/>
      <c r="B3" s="189" t="s">
        <v>267</v>
      </c>
      <c r="D3" s="9" t="s">
        <v>62</v>
      </c>
    </row>
    <row r="4" spans="1:4" ht="12.75">
      <c r="A4" s="1"/>
      <c r="D4" s="10" t="s">
        <v>52</v>
      </c>
    </row>
    <row r="5" spans="1:2" ht="15" customHeight="1" thickBot="1">
      <c r="A5" s="1"/>
      <c r="B5" s="3" t="s">
        <v>106</v>
      </c>
    </row>
    <row r="6" spans="1:5" s="4" customFormat="1" ht="29.25" customHeight="1">
      <c r="A6" s="67"/>
      <c r="B6" s="186"/>
      <c r="C6" s="187"/>
      <c r="D6" s="12" t="s">
        <v>245</v>
      </c>
      <c r="E6" s="13" t="s">
        <v>246</v>
      </c>
    </row>
    <row r="7" spans="1:5" ht="15" customHeight="1" thickBot="1">
      <c r="A7" s="1"/>
      <c r="B7" s="201"/>
      <c r="C7" s="202" t="s">
        <v>184</v>
      </c>
      <c r="D7" s="203" t="str">
        <f>C1</f>
        <v>Rainwater tanks</v>
      </c>
      <c r="E7" s="204" t="str">
        <f>C1</f>
        <v>Rainwater tanks</v>
      </c>
    </row>
    <row r="8" spans="1:5" ht="15" customHeight="1">
      <c r="A8" s="1"/>
      <c r="B8" s="288" t="s">
        <v>118</v>
      </c>
      <c r="C8" s="227" t="s">
        <v>190</v>
      </c>
      <c r="D8" s="211">
        <f>$C$18*Baseline!$C$6/1000</f>
        <v>0.18</v>
      </c>
      <c r="E8" s="212">
        <f>$C$20*Baseline!$C$6/1000</f>
        <v>0.18</v>
      </c>
    </row>
    <row r="9" spans="1:5" ht="15" customHeight="1">
      <c r="A9" s="1"/>
      <c r="B9" s="289"/>
      <c r="C9" s="228" t="s">
        <v>191</v>
      </c>
      <c r="D9" s="195">
        <f>$C$19*Baseline!$C$11/1000</f>
        <v>1.48</v>
      </c>
      <c r="E9" s="196">
        <f>$C$20*Baseline!$C$11/1000</f>
        <v>1.48</v>
      </c>
    </row>
    <row r="10" spans="1:5" ht="15" customHeight="1" thickBot="1">
      <c r="A10" s="1"/>
      <c r="B10" s="290"/>
      <c r="C10" s="229" t="s">
        <v>219</v>
      </c>
      <c r="D10" s="213">
        <f>SUM(D8:D9)</f>
        <v>1.66</v>
      </c>
      <c r="E10" s="214">
        <f>SUM(E8:E9)</f>
        <v>1.66</v>
      </c>
    </row>
    <row r="11" spans="1:5" ht="15" customHeight="1">
      <c r="A11" s="1"/>
      <c r="B11" s="282" t="s">
        <v>119</v>
      </c>
      <c r="C11" s="205" t="s">
        <v>192</v>
      </c>
      <c r="D11" s="206">
        <f>SUM($C$58:$G$58)</f>
        <v>0</v>
      </c>
      <c r="E11" s="207">
        <f>SUM($C$58:$G$58)</f>
        <v>0</v>
      </c>
    </row>
    <row r="12" spans="1:5" ht="15" customHeight="1">
      <c r="A12" s="1"/>
      <c r="B12" s="283"/>
      <c r="C12" s="119" t="s">
        <v>188</v>
      </c>
      <c r="D12" s="197">
        <f>SUM($C$44:$G$44)</f>
        <v>6.15</v>
      </c>
      <c r="E12" s="198">
        <f>SUM($C$44:$G$44)</f>
        <v>6.15</v>
      </c>
    </row>
    <row r="13" spans="1:5" ht="15" customHeight="1">
      <c r="A13" s="1"/>
      <c r="B13" s="283"/>
      <c r="C13" s="119" t="s">
        <v>189</v>
      </c>
      <c r="D13" s="197">
        <f>SUM($C$33:$G$33)+SUM($C$47:$G$47)+SUM($C$59:$G$59)+$C$21*Baseline!$C$6/1000+$C$22*Baseline!$C$11/1000</f>
        <v>12.864540589920002</v>
      </c>
      <c r="E13" s="198">
        <f>SUM($C$47:$G$47)+SUM($C$59:$G$59)+$C$21*Baseline!$C$6/1000+$C$22*Baseline!$C$11/1000</f>
        <v>12.204000000000002</v>
      </c>
    </row>
    <row r="14" spans="1:5" ht="15" customHeight="1">
      <c r="A14" s="1"/>
      <c r="B14" s="284" t="s">
        <v>120</v>
      </c>
      <c r="C14" s="285"/>
      <c r="D14" s="185">
        <f>SUM(D11:D13)</f>
        <v>19.014540589920003</v>
      </c>
      <c r="E14" s="122">
        <f>SUM(E11:E13)</f>
        <v>18.354000000000003</v>
      </c>
    </row>
    <row r="15" spans="1:5" ht="15" customHeight="1" thickBot="1">
      <c r="A15" s="1"/>
      <c r="B15" s="286" t="s">
        <v>121</v>
      </c>
      <c r="C15" s="287"/>
      <c r="D15" s="136">
        <f>D14-SUM(D8:D9)</f>
        <v>17.354540589920003</v>
      </c>
      <c r="E15" s="114">
        <f>E14-SUM(E8:E9)</f>
        <v>16.694000000000003</v>
      </c>
    </row>
    <row r="16" spans="1:4" ht="15" customHeight="1">
      <c r="A16" s="1"/>
      <c r="B16" s="68"/>
      <c r="D16" s="188" t="s">
        <v>262</v>
      </c>
    </row>
    <row r="17" spans="1:4" ht="15" customHeight="1" thickBot="1">
      <c r="A17" s="1"/>
      <c r="B17" s="68" t="s">
        <v>116</v>
      </c>
      <c r="D17" s="188" t="s">
        <v>263</v>
      </c>
    </row>
    <row r="18" spans="1:3" ht="15" customHeight="1">
      <c r="A18" s="1"/>
      <c r="B18" s="223" t="s">
        <v>259</v>
      </c>
      <c r="C18" s="120">
        <v>2000</v>
      </c>
    </row>
    <row r="19" spans="1:3" ht="15" customHeight="1" thickBot="1">
      <c r="A19" s="1"/>
      <c r="B19" s="224" t="s">
        <v>260</v>
      </c>
      <c r="C19" s="121">
        <v>2000</v>
      </c>
    </row>
    <row r="20" spans="1:3" ht="12.75">
      <c r="A20" s="1"/>
      <c r="B20" s="217" t="s">
        <v>297</v>
      </c>
      <c r="C20" s="120">
        <v>2000</v>
      </c>
    </row>
    <row r="21" spans="1:3" ht="15" customHeight="1">
      <c r="A21" s="1"/>
      <c r="B21" s="253" t="s">
        <v>298</v>
      </c>
      <c r="C21" s="254">
        <v>0</v>
      </c>
    </row>
    <row r="22" spans="1:13" s="4" customFormat="1" ht="24">
      <c r="A22" s="1"/>
      <c r="B22" s="256" t="s">
        <v>299</v>
      </c>
      <c r="C22" s="121">
        <v>2000</v>
      </c>
      <c r="D22" s="166"/>
      <c r="E22"/>
      <c r="F22"/>
      <c r="G22"/>
      <c r="H22"/>
      <c r="I22"/>
      <c r="J22"/>
      <c r="K22"/>
      <c r="L22"/>
      <c r="M22"/>
    </row>
    <row r="23" spans="1:13" s="4" customFormat="1" ht="12.75">
      <c r="A23" s="1"/>
      <c r="B23" s="218" t="s">
        <v>117</v>
      </c>
      <c r="C23" s="71"/>
      <c r="D23"/>
      <c r="E23"/>
      <c r="F23"/>
      <c r="G23"/>
      <c r="H23"/>
      <c r="I23"/>
      <c r="J23"/>
      <c r="K23"/>
      <c r="L23"/>
      <c r="M23"/>
    </row>
    <row r="24" spans="1:13" s="4" customFormat="1" ht="13.5" thickBot="1">
      <c r="A24" s="1"/>
      <c r="B24" s="219" t="s">
        <v>154</v>
      </c>
      <c r="C24" s="117">
        <v>20</v>
      </c>
      <c r="D24"/>
      <c r="E24"/>
      <c r="F24"/>
      <c r="G24"/>
      <c r="H24"/>
      <c r="I24"/>
      <c r="J24"/>
      <c r="K24"/>
      <c r="L24"/>
      <c r="M24"/>
    </row>
    <row r="25" spans="1:13" s="4" customFormat="1" ht="12.75">
      <c r="A25" s="1"/>
      <c r="B25" s="68"/>
      <c r="C25"/>
      <c r="D25"/>
      <c r="E25"/>
      <c r="F25"/>
      <c r="G25"/>
      <c r="H25"/>
      <c r="I25"/>
      <c r="J25"/>
      <c r="K25"/>
      <c r="L25"/>
      <c r="M25"/>
    </row>
    <row r="26" spans="1:2" ht="13.5" thickBot="1">
      <c r="A26" s="1"/>
      <c r="B26" s="68" t="s">
        <v>40</v>
      </c>
    </row>
    <row r="27" spans="1:13" ht="12.75">
      <c r="A27" s="67"/>
      <c r="B27" s="92"/>
      <c r="C27" s="246" t="s">
        <v>41</v>
      </c>
      <c r="D27" s="179" t="s">
        <v>42</v>
      </c>
      <c r="E27" s="179" t="s">
        <v>43</v>
      </c>
      <c r="F27" s="179" t="s">
        <v>44</v>
      </c>
      <c r="G27" s="243" t="s">
        <v>45</v>
      </c>
      <c r="L27" s="4"/>
      <c r="M27" s="4"/>
    </row>
    <row r="28" spans="1:13" ht="12.75">
      <c r="A28" s="67"/>
      <c r="B28" s="182" t="s">
        <v>5</v>
      </c>
      <c r="C28" s="9" t="s">
        <v>20</v>
      </c>
      <c r="D28" s="9" t="s">
        <v>25</v>
      </c>
      <c r="E28" s="9" t="s">
        <v>24</v>
      </c>
      <c r="F28" s="9" t="s">
        <v>148</v>
      </c>
      <c r="G28" s="71" t="s">
        <v>23</v>
      </c>
      <c r="L28" s="4"/>
      <c r="M28" s="4"/>
    </row>
    <row r="29" spans="1:13" ht="12.75">
      <c r="A29" s="67"/>
      <c r="B29" s="183" t="s">
        <v>37</v>
      </c>
      <c r="C29" s="9">
        <v>369</v>
      </c>
      <c r="D29" s="9">
        <v>1.132</v>
      </c>
      <c r="E29" s="9">
        <v>0.48</v>
      </c>
      <c r="F29" s="9">
        <v>0.31</v>
      </c>
      <c r="G29" s="71">
        <v>0.5</v>
      </c>
      <c r="L29" s="4"/>
      <c r="M29" s="4"/>
    </row>
    <row r="30" spans="1:7" ht="12.75">
      <c r="A30" s="1"/>
      <c r="B30" s="76" t="s">
        <v>80</v>
      </c>
      <c r="C30" s="10">
        <f>VLOOKUP(C28,Configuration!$A$42:$D$59,2,FALSE)</f>
        <v>6.8</v>
      </c>
      <c r="D30" s="10">
        <f>VLOOKUP(D28,Configuration!$A$42:$D$59,2,FALSE)</f>
        <v>35.8</v>
      </c>
      <c r="E30" s="10">
        <f>VLOOKUP(E28,Configuration!$A$42:$D$59,2,FALSE)</f>
        <v>67.22</v>
      </c>
      <c r="F30" s="10">
        <f>VLOOKUP(F28,Configuration!$A$42:$D$59,2,FALSE)</f>
        <v>120</v>
      </c>
      <c r="G30" s="63">
        <f>VLOOKUP(G28,Configuration!$A$42:$D$59,2,FALSE)</f>
        <v>118.8</v>
      </c>
    </row>
    <row r="31" spans="1:11" ht="12.75">
      <c r="A31" s="1"/>
      <c r="B31" s="76" t="s">
        <v>82</v>
      </c>
      <c r="C31" s="10">
        <f>C30*3.6*C29</f>
        <v>9033.12</v>
      </c>
      <c r="D31" s="10">
        <f>D30*3.6*D29</f>
        <v>145.89216</v>
      </c>
      <c r="E31" s="10">
        <f>E30*3.6*E29</f>
        <v>116.15615999999999</v>
      </c>
      <c r="F31" s="10">
        <f>F30*3.6*F29</f>
        <v>133.92</v>
      </c>
      <c r="G31" s="63">
        <f>G30*3.6*G29</f>
        <v>213.84</v>
      </c>
      <c r="I31" s="4"/>
      <c r="J31" s="4"/>
      <c r="K31" s="4"/>
    </row>
    <row r="32" spans="1:11" ht="12.75">
      <c r="A32" s="1"/>
      <c r="B32" s="76" t="s">
        <v>81</v>
      </c>
      <c r="C32" s="10">
        <f>Configuration!$B$7+Configuration!$C$7</f>
        <v>1.37</v>
      </c>
      <c r="D32" s="10">
        <f>Configuration!$B$7+Configuration!$C$7</f>
        <v>1.37</v>
      </c>
      <c r="E32" s="10">
        <f>Configuration!$B$7+Configuration!$C$7</f>
        <v>1.37</v>
      </c>
      <c r="F32" s="10">
        <f>Configuration!$B$7+Configuration!$C$7</f>
        <v>1.37</v>
      </c>
      <c r="G32" s="63">
        <f>Configuration!$B$7+Configuration!$C$7</f>
        <v>1.37</v>
      </c>
      <c r="I32" s="4"/>
      <c r="J32" s="4"/>
      <c r="K32" s="4"/>
    </row>
    <row r="33" spans="1:11" ht="13.5" thickBot="1">
      <c r="A33" s="1"/>
      <c r="B33" s="90" t="s">
        <v>74</v>
      </c>
      <c r="C33" s="93">
        <f>C32*C31/1000/$C$24</f>
        <v>0.61876872</v>
      </c>
      <c r="D33" s="93">
        <f>D32*D31/1000/$C$24</f>
        <v>0.00999361296</v>
      </c>
      <c r="E33" s="93">
        <f>E32*E31/1000/$C$24</f>
        <v>0.007956696959999999</v>
      </c>
      <c r="F33" s="93">
        <f>F32*F31/1000/$C$24</f>
        <v>0.00917352</v>
      </c>
      <c r="G33" s="91">
        <f>G32*G31/1000/$C$24</f>
        <v>0.014648040000000001</v>
      </c>
      <c r="I33" s="4"/>
      <c r="J33" s="4"/>
      <c r="K33" s="4"/>
    </row>
    <row r="34" spans="1:2" ht="12.75">
      <c r="A34" s="1"/>
      <c r="B34" s="167" t="s">
        <v>207</v>
      </c>
    </row>
    <row r="35" spans="1:2" ht="12.75">
      <c r="A35" s="1"/>
      <c r="B35" s="168" t="s">
        <v>208</v>
      </c>
    </row>
    <row r="36" spans="1:2" ht="12.75">
      <c r="A36" s="1"/>
      <c r="B36" s="68"/>
    </row>
    <row r="37" spans="1:2" ht="13.5" thickBot="1">
      <c r="A37" s="1"/>
      <c r="B37" s="3" t="s">
        <v>84</v>
      </c>
    </row>
    <row r="38" spans="1:7" ht="12.75">
      <c r="A38" s="1"/>
      <c r="B38" s="92"/>
      <c r="C38" s="179" t="s">
        <v>85</v>
      </c>
      <c r="D38" s="179" t="s">
        <v>86</v>
      </c>
      <c r="E38" s="179" t="s">
        <v>87</v>
      </c>
      <c r="F38" s="179" t="s">
        <v>88</v>
      </c>
      <c r="G38" s="243" t="s">
        <v>89</v>
      </c>
    </row>
    <row r="39" spans="1:7" ht="12.75">
      <c r="A39" s="1"/>
      <c r="B39" s="183" t="s">
        <v>54</v>
      </c>
      <c r="C39" s="94" t="s">
        <v>71</v>
      </c>
      <c r="D39" s="94" t="s">
        <v>71</v>
      </c>
      <c r="E39" s="94" t="s">
        <v>71</v>
      </c>
      <c r="F39" s="94" t="s">
        <v>71</v>
      </c>
      <c r="G39" s="98" t="s">
        <v>71</v>
      </c>
    </row>
    <row r="40" spans="1:7" ht="12.75">
      <c r="A40" s="1"/>
      <c r="B40" s="183" t="s">
        <v>6</v>
      </c>
      <c r="C40" s="94">
        <v>2.5</v>
      </c>
      <c r="D40" s="94">
        <v>2.5</v>
      </c>
      <c r="E40" s="94">
        <v>2.5</v>
      </c>
      <c r="F40" s="94">
        <v>2.5</v>
      </c>
      <c r="G40" s="98">
        <v>2.5</v>
      </c>
    </row>
    <row r="41" spans="1:8" ht="12.75">
      <c r="A41" s="1"/>
      <c r="B41" s="183" t="s">
        <v>83</v>
      </c>
      <c r="C41" s="94">
        <v>50</v>
      </c>
      <c r="D41" s="94">
        <v>10000</v>
      </c>
      <c r="E41" s="94">
        <v>10000</v>
      </c>
      <c r="F41" s="94">
        <v>10000</v>
      </c>
      <c r="G41" s="98">
        <v>10000</v>
      </c>
      <c r="H41" s="4"/>
    </row>
    <row r="42" spans="1:8" ht="12.75">
      <c r="A42" s="1"/>
      <c r="B42" s="76" t="s">
        <v>72</v>
      </c>
      <c r="C42" s="95">
        <f>C41*C40</f>
        <v>125</v>
      </c>
      <c r="D42" s="95">
        <f>D41*D40</f>
        <v>25000</v>
      </c>
      <c r="E42" s="95">
        <v>30000</v>
      </c>
      <c r="F42" s="95">
        <f>F41*F40</f>
        <v>25000</v>
      </c>
      <c r="G42" s="77">
        <f>G41*G40</f>
        <v>25000</v>
      </c>
      <c r="H42" s="4"/>
    </row>
    <row r="43" spans="2:8" ht="12.75">
      <c r="B43" s="183" t="s">
        <v>73</v>
      </c>
      <c r="C43" s="96">
        <v>0.2</v>
      </c>
      <c r="D43" s="96">
        <v>0.5</v>
      </c>
      <c r="E43" s="96">
        <v>0.2</v>
      </c>
      <c r="F43" s="96">
        <v>0.2</v>
      </c>
      <c r="G43" s="73">
        <v>0.2</v>
      </c>
      <c r="H43" s="4"/>
    </row>
    <row r="44" spans="2:7" ht="12.75">
      <c r="B44" s="76" t="s">
        <v>15</v>
      </c>
      <c r="C44" s="97">
        <f>VLOOKUP(C39,Configuration!$A$5:$C$12,2,FALSE)</f>
        <v>1.23</v>
      </c>
      <c r="D44" s="97">
        <f>VLOOKUP(D39,Configuration!$A$5:$C$12,2,FALSE)</f>
        <v>1.23</v>
      </c>
      <c r="E44" s="97">
        <f>VLOOKUP(E39,Configuration!$A$5:$C$12,2,FALSE)</f>
        <v>1.23</v>
      </c>
      <c r="F44" s="97">
        <f>VLOOKUP(F39,Configuration!$A$5:$C$12,2,FALSE)</f>
        <v>1.23</v>
      </c>
      <c r="G44" s="74">
        <f>VLOOKUP(G39,Configuration!$A$5:$C$12,2,FALSE)</f>
        <v>1.23</v>
      </c>
    </row>
    <row r="45" spans="2:7" ht="12.75">
      <c r="B45" s="76" t="s">
        <v>16</v>
      </c>
      <c r="C45" s="97">
        <f>VLOOKUP(C39,Configuration!$A$5:$C$12,3,FALSE)</f>
        <v>0.14</v>
      </c>
      <c r="D45" s="97">
        <f>VLOOKUP(D39,Configuration!$A$5:$C$12,3,FALSE)</f>
        <v>0.14</v>
      </c>
      <c r="E45" s="97">
        <f>VLOOKUP(E39,Configuration!$A$5:$C$12,3,FALSE)</f>
        <v>0.14</v>
      </c>
      <c r="F45" s="97">
        <f>VLOOKUP(F39,Configuration!$A$5:$C$12,3,FALSE)</f>
        <v>0.14</v>
      </c>
      <c r="G45" s="74">
        <f>VLOOKUP(G39,Configuration!$A$5:$C$12,3,FALSE)</f>
        <v>0.14</v>
      </c>
    </row>
    <row r="46" spans="2:7" ht="12.75">
      <c r="B46" s="104" t="s">
        <v>105</v>
      </c>
      <c r="C46" s="105">
        <f aca="true" t="shared" si="0" ref="C46:G47">C44*(1-C$43)*C$42/1000</f>
        <v>0.123</v>
      </c>
      <c r="D46" s="109">
        <f t="shared" si="0"/>
        <v>15.375</v>
      </c>
      <c r="E46" s="109">
        <f t="shared" si="0"/>
        <v>29.52</v>
      </c>
      <c r="F46" s="109">
        <f t="shared" si="0"/>
        <v>24.6</v>
      </c>
      <c r="G46" s="110">
        <f t="shared" si="0"/>
        <v>24.6</v>
      </c>
    </row>
    <row r="47" spans="2:7" ht="12.75">
      <c r="B47" s="104" t="s">
        <v>103</v>
      </c>
      <c r="C47" s="105">
        <f t="shared" si="0"/>
        <v>0.014000000000000002</v>
      </c>
      <c r="D47" s="109">
        <f t="shared" si="0"/>
        <v>1.7500000000000002</v>
      </c>
      <c r="E47" s="109">
        <f t="shared" si="0"/>
        <v>3.3600000000000003</v>
      </c>
      <c r="F47" s="109">
        <f t="shared" si="0"/>
        <v>2.8000000000000003</v>
      </c>
      <c r="G47" s="110">
        <f t="shared" si="0"/>
        <v>2.8000000000000003</v>
      </c>
    </row>
    <row r="48" spans="2:7" ht="13.5" thickBot="1">
      <c r="B48" s="72" t="s">
        <v>3</v>
      </c>
      <c r="C48" s="99">
        <f>SUM(C45,C44)*(1-C43)*C42/1000</f>
        <v>0.137</v>
      </c>
      <c r="D48" s="99">
        <f>SUM(D45,D44)*(1-D43)*D42/1000</f>
        <v>17.125</v>
      </c>
      <c r="E48" s="99">
        <f>SUM(E45,E44)*(1-E43)*E42/1000</f>
        <v>32.88</v>
      </c>
      <c r="F48" s="99">
        <f>SUM(F45,F44)*(1-F43)*F42/1000</f>
        <v>27.400000000000002</v>
      </c>
      <c r="G48" s="75">
        <f>SUM(G45,G44)*(1-G43)*G42/1000</f>
        <v>27.400000000000002</v>
      </c>
    </row>
    <row r="49" spans="2:5" ht="12.75">
      <c r="B49" s="66"/>
      <c r="C49" s="66"/>
      <c r="D49" s="66"/>
      <c r="E49" s="66"/>
    </row>
    <row r="50" ht="13.5" thickBot="1">
      <c r="B50" s="3" t="s">
        <v>167</v>
      </c>
    </row>
    <row r="51" spans="2:7" ht="12.75">
      <c r="B51" s="92"/>
      <c r="C51" s="179" t="s">
        <v>96</v>
      </c>
      <c r="D51" s="179" t="s">
        <v>97</v>
      </c>
      <c r="E51" s="179" t="s">
        <v>98</v>
      </c>
      <c r="F51" s="179" t="s">
        <v>99</v>
      </c>
      <c r="G51" s="243" t="s">
        <v>100</v>
      </c>
    </row>
    <row r="52" spans="2:7" ht="12.75">
      <c r="B52" s="183" t="s">
        <v>54</v>
      </c>
      <c r="C52" s="94" t="s">
        <v>71</v>
      </c>
      <c r="D52" s="94" t="s">
        <v>71</v>
      </c>
      <c r="E52" s="94" t="s">
        <v>60</v>
      </c>
      <c r="F52" s="94" t="s">
        <v>71</v>
      </c>
      <c r="G52" s="98" t="s">
        <v>71</v>
      </c>
    </row>
    <row r="53" spans="2:7" ht="12.75">
      <c r="B53" s="183" t="s">
        <v>168</v>
      </c>
      <c r="C53" s="94">
        <v>30</v>
      </c>
      <c r="D53" s="94">
        <v>2.5</v>
      </c>
      <c r="E53" s="94">
        <v>2.5</v>
      </c>
      <c r="F53" s="94">
        <v>2.5</v>
      </c>
      <c r="G53" s="98">
        <v>2.5</v>
      </c>
    </row>
    <row r="54" spans="2:7" ht="12.75">
      <c r="B54" s="183" t="s">
        <v>83</v>
      </c>
      <c r="C54" s="94">
        <v>10000</v>
      </c>
      <c r="D54" s="94">
        <v>10000</v>
      </c>
      <c r="E54" s="94">
        <v>10000</v>
      </c>
      <c r="F54" s="94">
        <v>10000</v>
      </c>
      <c r="G54" s="98">
        <v>10000</v>
      </c>
    </row>
    <row r="55" spans="2:7" ht="12.75">
      <c r="B55" s="76" t="s">
        <v>169</v>
      </c>
      <c r="C55" s="95">
        <f>C54*C53</f>
        <v>300000</v>
      </c>
      <c r="D55" s="95">
        <f>D54*D53</f>
        <v>25000</v>
      </c>
      <c r="E55" s="95">
        <f>E54*E53</f>
        <v>25000</v>
      </c>
      <c r="F55" s="95">
        <f>F54*F53</f>
        <v>25000</v>
      </c>
      <c r="G55" s="77">
        <f>G54*G53</f>
        <v>25000</v>
      </c>
    </row>
    <row r="56" spans="2:7" ht="12.75">
      <c r="B56" s="76" t="s">
        <v>170</v>
      </c>
      <c r="C56" s="97">
        <f>VLOOKUP(C52,Configuration!$A$16:$C$24,2,FALSE)</f>
        <v>51.3</v>
      </c>
      <c r="D56" s="97">
        <f>VLOOKUP(D52,Configuration!$A$5:$C$12,2,FALSE)</f>
        <v>1.23</v>
      </c>
      <c r="E56" s="97">
        <f>VLOOKUP(E52,Configuration!$A$5:$C$12,2,FALSE)</f>
        <v>1.23</v>
      </c>
      <c r="F56" s="97">
        <f>VLOOKUP(F52,Configuration!$A$5:$C$12,2,FALSE)</f>
        <v>1.23</v>
      </c>
      <c r="G56" s="74">
        <f>VLOOKUP(G52,Configuration!$A$5:$C$12,2,FALSE)</f>
        <v>1.23</v>
      </c>
    </row>
    <row r="57" spans="2:7" ht="12.75">
      <c r="B57" s="76" t="s">
        <v>171</v>
      </c>
      <c r="C57" s="97">
        <f>VLOOKUP(C52,Configuration!$A$16:$C$24,3,FALSE)</f>
        <v>5.9</v>
      </c>
      <c r="D57" s="97">
        <f>VLOOKUP(D52,Configuration!$A$5:$C$12,3,FALSE)</f>
        <v>0.14</v>
      </c>
      <c r="E57" s="97">
        <f>VLOOKUP(E52,Configuration!$A$5:$C$12,3,FALSE)</f>
        <v>0.14</v>
      </c>
      <c r="F57" s="97">
        <f>VLOOKUP(F52,Configuration!$A$5:$C$12,3,FALSE)</f>
        <v>0.14</v>
      </c>
      <c r="G57" s="74">
        <f>VLOOKUP(G52,Configuration!$A$5:$C$12,3,FALSE)</f>
        <v>0.14</v>
      </c>
    </row>
    <row r="58" spans="2:7" ht="12.75">
      <c r="B58" s="104" t="s">
        <v>102</v>
      </c>
      <c r="C58" s="105">
        <f aca="true" t="shared" si="1" ref="C58:G59">C56*(C$68/1000)/1000</f>
        <v>0</v>
      </c>
      <c r="D58" s="109">
        <f t="shared" si="1"/>
        <v>0</v>
      </c>
      <c r="E58" s="109">
        <f t="shared" si="1"/>
        <v>0</v>
      </c>
      <c r="F58" s="109">
        <f t="shared" si="1"/>
        <v>0</v>
      </c>
      <c r="G58" s="110">
        <f t="shared" si="1"/>
        <v>0</v>
      </c>
    </row>
    <row r="59" spans="2:7" ht="12.75">
      <c r="B59" s="104" t="s">
        <v>103</v>
      </c>
      <c r="C59" s="105">
        <f t="shared" si="1"/>
        <v>0</v>
      </c>
      <c r="D59" s="109">
        <f t="shared" si="1"/>
        <v>0</v>
      </c>
      <c r="E59" s="109">
        <f t="shared" si="1"/>
        <v>0</v>
      </c>
      <c r="F59" s="109">
        <f t="shared" si="1"/>
        <v>0</v>
      </c>
      <c r="G59" s="110">
        <f t="shared" si="1"/>
        <v>0</v>
      </c>
    </row>
    <row r="60" spans="2:7" ht="13.5" thickBot="1">
      <c r="B60" s="72" t="s">
        <v>3</v>
      </c>
      <c r="C60" s="99">
        <f>SUM(C59,C58)</f>
        <v>0</v>
      </c>
      <c r="D60" s="99">
        <f>SUM(D59,D58)</f>
        <v>0</v>
      </c>
      <c r="E60" s="99">
        <f>SUM(E59,E58)</f>
        <v>0</v>
      </c>
      <c r="F60" s="99">
        <f>SUM(F59,F58)</f>
        <v>0</v>
      </c>
      <c r="G60" s="75">
        <f>SUM(G59,G58)</f>
        <v>0</v>
      </c>
    </row>
    <row r="123" ht="12.75">
      <c r="B123" t="s">
        <v>17</v>
      </c>
    </row>
    <row r="124" ht="12.75">
      <c r="B124"/>
    </row>
    <row r="125" ht="12.75">
      <c r="B125" s="81" t="str">
        <f>Configuration!A5</f>
        <v>NSW</v>
      </c>
    </row>
    <row r="126" ht="12.75">
      <c r="B126" s="81" t="str">
        <f>Configuration!A6</f>
        <v>ACT</v>
      </c>
    </row>
    <row r="127" ht="12.75">
      <c r="B127" s="81" t="str">
        <f>Configuration!A7</f>
        <v>VIC</v>
      </c>
    </row>
    <row r="128" ht="12.75">
      <c r="B128" s="81" t="str">
        <f>Configuration!A8</f>
        <v>QLD</v>
      </c>
    </row>
    <row r="129" ht="12.75">
      <c r="B129" s="81" t="str">
        <f>Configuration!A9</f>
        <v>SA</v>
      </c>
    </row>
    <row r="130" ht="12.75">
      <c r="B130" s="81" t="str">
        <f>Configuration!A10</f>
        <v>WA</v>
      </c>
    </row>
    <row r="131" ht="12.75">
      <c r="B131" s="81" t="str">
        <f>Configuration!A11</f>
        <v>TAS</v>
      </c>
    </row>
    <row r="132" ht="12.75">
      <c r="B132" s="81" t="str">
        <f>Configuration!A12</f>
        <v>NT</v>
      </c>
    </row>
    <row r="133" ht="12.75">
      <c r="B133" s="81" t="str">
        <f>Configuration!A43</f>
        <v>Hardboard</v>
      </c>
    </row>
    <row r="134" ht="12.75">
      <c r="B134" s="81" t="str">
        <f>Configuration!A44</f>
        <v>Concrete</v>
      </c>
    </row>
    <row r="135" ht="12.75">
      <c r="B135" s="81" t="str">
        <f>Configuration!A45</f>
        <v>Cement</v>
      </c>
    </row>
    <row r="136" ht="12.75">
      <c r="B136" s="81" t="str">
        <f>Configuration!A46</f>
        <v>PVC</v>
      </c>
    </row>
    <row r="137" ht="12.75">
      <c r="B137" s="81" t="str">
        <f>Configuration!A47</f>
        <v>Glass</v>
      </c>
    </row>
    <row r="138" ht="12.75">
      <c r="B138" s="81" t="str">
        <f>Configuration!A48</f>
        <v>Aluminium</v>
      </c>
    </row>
    <row r="139" ht="12.75">
      <c r="B139" s="81" t="str">
        <f>Configuration!A49</f>
        <v>Gravel</v>
      </c>
    </row>
    <row r="140" ht="12.75">
      <c r="B140" s="81" t="str">
        <f>Configuration!A50</f>
        <v>Copper</v>
      </c>
    </row>
    <row r="141" ht="12.75">
      <c r="B141" s="81" t="str">
        <f>Configuration!A51</f>
        <v>Galvanised Steel</v>
      </c>
    </row>
    <row r="142" ht="12.75">
      <c r="B142" s="81" t="str">
        <f>Configuration!A52</f>
        <v>Particleboard</v>
      </c>
    </row>
    <row r="143" ht="12.75">
      <c r="B143" s="81" t="str">
        <f>Configuration!A53</f>
        <v>Plywood</v>
      </c>
    </row>
    <row r="144" ht="12.75">
      <c r="B144" s="81" t="str">
        <f>Configuration!A54</f>
        <v>Plastics</v>
      </c>
    </row>
    <row r="145" ht="12.75">
      <c r="B145" s="81" t="str">
        <f>Configuration!A55</f>
        <v>Synthetic rubber</v>
      </c>
    </row>
    <row r="146" ht="12.75">
      <c r="B146" s="81" t="str">
        <f>Configuration!A56</f>
        <v>Acrylic paint</v>
      </c>
    </row>
    <row r="147" ht="12.75">
      <c r="B147" s="81" t="str">
        <f>Configuration!A57</f>
        <v>Plasterboard</v>
      </c>
    </row>
    <row r="148" ht="12.75">
      <c r="B148" s="81" t="str">
        <f>Configuration!A58</f>
        <v>Clay bricks</v>
      </c>
    </row>
    <row r="149" ht="12.75">
      <c r="B149" s="81" t="str">
        <f>Configuration!A59</f>
        <v>stabilised earth</v>
      </c>
    </row>
    <row r="150" ht="12.75">
      <c r="B150" s="81"/>
    </row>
  </sheetData>
  <sheetProtection/>
  <mergeCells count="4">
    <mergeCell ref="B11:B13"/>
    <mergeCell ref="B14:C14"/>
    <mergeCell ref="B15:C15"/>
    <mergeCell ref="B8:B10"/>
  </mergeCells>
  <dataValidations count="3">
    <dataValidation type="list" allowBlank="1" showInputMessage="1" showErrorMessage="1" sqref="C39:G39">
      <formula1>$B$125:$B$128</formula1>
    </dataValidation>
    <dataValidation type="list" allowBlank="1" showInputMessage="1" showErrorMessage="1" sqref="C28:G28">
      <formula1>$B$133:$B$149</formula1>
    </dataValidation>
    <dataValidation type="list" allowBlank="1" showInputMessage="1" showErrorMessage="1" sqref="C52:G52">
      <formula1>$B$125:$B$132</formula1>
    </dataValidation>
  </dataValidation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7"/>
  </sheetPr>
  <dimension ref="A1:O155"/>
  <sheetViews>
    <sheetView showGridLines="0" zoomScale="90" zoomScaleNormal="90" zoomScalePageLayoutView="0" workbookViewId="0" topLeftCell="C37">
      <selection activeCell="F46" sqref="F46"/>
    </sheetView>
  </sheetViews>
  <sheetFormatPr defaultColWidth="9.140625" defaultRowHeight="12.75"/>
  <cols>
    <col min="1" max="1" width="5.140625" style="0" customWidth="1"/>
    <col min="2" max="2" width="54.140625" style="2" customWidth="1"/>
    <col min="3" max="3" width="24.421875" style="0" customWidth="1"/>
    <col min="4" max="4" width="24.28125" style="0" customWidth="1"/>
    <col min="5" max="5" width="23.00390625" style="0" customWidth="1"/>
    <col min="6" max="7" width="19.140625" style="0" customWidth="1"/>
    <col min="15" max="15" width="32.57421875" style="0" customWidth="1"/>
  </cols>
  <sheetData>
    <row r="1" spans="1:5" ht="15.75" thickBot="1">
      <c r="A1" s="47"/>
      <c r="B1" s="116" t="s">
        <v>107</v>
      </c>
      <c r="C1" s="115" t="s">
        <v>1</v>
      </c>
      <c r="D1" s="49"/>
      <c r="E1" s="48"/>
    </row>
    <row r="2" ht="13.5" thickBot="1"/>
    <row r="3" spans="1:4" ht="166.5" thickBot="1">
      <c r="A3" s="1"/>
      <c r="B3" s="190" t="s">
        <v>0</v>
      </c>
      <c r="D3" s="9" t="s">
        <v>62</v>
      </c>
    </row>
    <row r="4" spans="1:4" ht="12.75">
      <c r="A4" s="1"/>
      <c r="D4" s="10" t="s">
        <v>52</v>
      </c>
    </row>
    <row r="5" spans="1:2" ht="15" customHeight="1" thickBot="1">
      <c r="A5" s="1"/>
      <c r="B5" s="3" t="s">
        <v>106</v>
      </c>
    </row>
    <row r="6" spans="1:5" s="4" customFormat="1" ht="29.25" customHeight="1">
      <c r="A6" s="67"/>
      <c r="B6" s="186"/>
      <c r="C6" s="187"/>
      <c r="D6" s="12" t="s">
        <v>245</v>
      </c>
      <c r="E6" s="13" t="s">
        <v>246</v>
      </c>
    </row>
    <row r="7" spans="1:5" ht="15" customHeight="1" thickBot="1">
      <c r="A7" s="1"/>
      <c r="B7" s="201"/>
      <c r="C7" s="202" t="s">
        <v>184</v>
      </c>
      <c r="D7" s="203" t="str">
        <f>C1</f>
        <v>Stormwater treatment</v>
      </c>
      <c r="E7" s="204" t="str">
        <f>C1</f>
        <v>Stormwater treatment</v>
      </c>
    </row>
    <row r="8" spans="1:5" ht="15" customHeight="1">
      <c r="A8" s="1"/>
      <c r="B8" s="288" t="s">
        <v>118</v>
      </c>
      <c r="C8" s="227" t="s">
        <v>190</v>
      </c>
      <c r="D8" s="211">
        <f>$C$18*Baseline!$C$6/1000</f>
        <v>0.18</v>
      </c>
      <c r="E8" s="212">
        <f>$C$20*Baseline!$C$6/1000</f>
        <v>0.18</v>
      </c>
    </row>
    <row r="9" spans="1:5" ht="15" customHeight="1">
      <c r="A9" s="1"/>
      <c r="B9" s="289"/>
      <c r="C9" s="228" t="s">
        <v>191</v>
      </c>
      <c r="D9" s="195">
        <f>$C$19*Baseline!$C$11/1000</f>
        <v>1.11</v>
      </c>
      <c r="E9" s="196">
        <f>$C$20*Baseline!$C$11/1000</f>
        <v>1.48</v>
      </c>
    </row>
    <row r="10" spans="1:5" ht="15" customHeight="1" thickBot="1">
      <c r="A10" s="1"/>
      <c r="B10" s="290"/>
      <c r="C10" s="229" t="s">
        <v>219</v>
      </c>
      <c r="D10" s="213">
        <f>SUM(D8:D9)</f>
        <v>1.29</v>
      </c>
      <c r="E10" s="214">
        <f>SUM(E8:E9)</f>
        <v>1.66</v>
      </c>
    </row>
    <row r="11" spans="1:5" ht="15" customHeight="1">
      <c r="A11" s="1"/>
      <c r="B11" s="282" t="s">
        <v>119</v>
      </c>
      <c r="C11" s="205" t="s">
        <v>192</v>
      </c>
      <c r="D11" s="215">
        <f>SUM($C$71:$G$71)</f>
        <v>15.512999999999998</v>
      </c>
      <c r="E11" s="216">
        <f>SUM($C$71:$G$71)</f>
        <v>15.512999999999998</v>
      </c>
    </row>
    <row r="12" spans="1:5" ht="15" customHeight="1">
      <c r="A12" s="1"/>
      <c r="B12" s="283"/>
      <c r="C12" s="119" t="s">
        <v>188</v>
      </c>
      <c r="D12" s="118">
        <f>SUM($C$59:$G$59)+SUM($C$46:$G$46)</f>
        <v>204.4875</v>
      </c>
      <c r="E12" s="113">
        <f>SUM($C$59:$G$59)+SUM($C$46:$G$46)</f>
        <v>204.4875</v>
      </c>
    </row>
    <row r="13" spans="1:5" ht="15" customHeight="1">
      <c r="A13" s="1"/>
      <c r="B13" s="283"/>
      <c r="C13" s="119" t="s">
        <v>189</v>
      </c>
      <c r="D13" s="118">
        <f>SUM($C$33:$G$33)+SUM($C$47:$G$47)+SUM($C$60:$G$60)+SUM($C$72:$G$72)+$C$21*Baseline!$C$6/1000+$C$22*Baseline!$C$11/1000</f>
        <v>26.2422402</v>
      </c>
      <c r="E13" s="113">
        <f>SUM($C$47:$G$47)+SUM($C$60:$G$60)+SUM($C$72:$G$72)+$C$21*Baseline!$C$6/1000+$C$22*Baseline!$C$11/1000</f>
        <v>26.169</v>
      </c>
    </row>
    <row r="14" spans="1:5" ht="15" customHeight="1">
      <c r="A14" s="1"/>
      <c r="B14" s="284" t="s">
        <v>120</v>
      </c>
      <c r="C14" s="285"/>
      <c r="D14" s="185">
        <f>SUM(D11:D13)</f>
        <v>246.24274020000001</v>
      </c>
      <c r="E14" s="122">
        <f>SUM(E11:E13)</f>
        <v>246.16950000000003</v>
      </c>
    </row>
    <row r="15" spans="1:5" ht="15" customHeight="1" thickBot="1">
      <c r="A15" s="1"/>
      <c r="B15" s="286" t="s">
        <v>121</v>
      </c>
      <c r="C15" s="287"/>
      <c r="D15" s="136">
        <f>D14-SUM(D8:D9)</f>
        <v>244.95274020000002</v>
      </c>
      <c r="E15" s="114">
        <f>E14-SUM(E8:E9)</f>
        <v>244.50950000000003</v>
      </c>
    </row>
    <row r="16" spans="1:4" ht="15" customHeight="1">
      <c r="A16" s="1"/>
      <c r="B16" s="68"/>
      <c r="D16" s="188" t="s">
        <v>262</v>
      </c>
    </row>
    <row r="17" spans="1:4" ht="15" customHeight="1" thickBot="1">
      <c r="A17" s="1"/>
      <c r="B17" s="68" t="s">
        <v>116</v>
      </c>
      <c r="D17" s="188" t="s">
        <v>263</v>
      </c>
    </row>
    <row r="18" spans="1:3" ht="15" customHeight="1">
      <c r="A18" s="1"/>
      <c r="B18" s="223" t="s">
        <v>259</v>
      </c>
      <c r="C18" s="120">
        <v>2000</v>
      </c>
    </row>
    <row r="19" spans="1:3" ht="15" customHeight="1" thickBot="1">
      <c r="A19" s="1"/>
      <c r="B19" s="224" t="s">
        <v>260</v>
      </c>
      <c r="C19" s="121">
        <v>1500</v>
      </c>
    </row>
    <row r="20" spans="1:3" ht="12.75">
      <c r="A20" s="1"/>
      <c r="B20" s="217" t="s">
        <v>297</v>
      </c>
      <c r="C20" s="120">
        <v>2000</v>
      </c>
    </row>
    <row r="21" spans="1:3" ht="15" customHeight="1">
      <c r="A21" s="1"/>
      <c r="B21" s="253" t="s">
        <v>298</v>
      </c>
      <c r="C21" s="254">
        <v>0</v>
      </c>
    </row>
    <row r="22" spans="1:13" s="4" customFormat="1" ht="24">
      <c r="A22" s="1"/>
      <c r="B22" s="256" t="s">
        <v>299</v>
      </c>
      <c r="C22" s="121">
        <v>1500</v>
      </c>
      <c r="D22" s="166"/>
      <c r="E22"/>
      <c r="F22"/>
      <c r="G22"/>
      <c r="H22"/>
      <c r="I22"/>
      <c r="J22"/>
      <c r="K22"/>
      <c r="L22"/>
      <c r="M22"/>
    </row>
    <row r="23" spans="1:13" s="4" customFormat="1" ht="12.75">
      <c r="A23" s="1"/>
      <c r="B23" s="218" t="s">
        <v>117</v>
      </c>
      <c r="C23" s="71"/>
      <c r="D23"/>
      <c r="E23"/>
      <c r="F23"/>
      <c r="G23"/>
      <c r="H23"/>
      <c r="I23"/>
      <c r="J23"/>
      <c r="K23"/>
      <c r="L23"/>
      <c r="M23"/>
    </row>
    <row r="24" spans="1:13" s="4" customFormat="1" ht="13.5" thickBot="1">
      <c r="A24" s="1"/>
      <c r="B24" s="219" t="s">
        <v>154</v>
      </c>
      <c r="C24" s="117">
        <v>20</v>
      </c>
      <c r="D24"/>
      <c r="E24"/>
      <c r="F24"/>
      <c r="G24"/>
      <c r="H24"/>
      <c r="I24"/>
      <c r="J24"/>
      <c r="K24"/>
      <c r="L24"/>
      <c r="M24"/>
    </row>
    <row r="25" spans="1:13" s="4" customFormat="1" ht="13.5" customHeight="1">
      <c r="A25" s="1"/>
      <c r="B25" s="68"/>
      <c r="C25"/>
      <c r="D25"/>
      <c r="E25"/>
      <c r="F25"/>
      <c r="G25"/>
      <c r="H25"/>
      <c r="I25"/>
      <c r="J25"/>
      <c r="K25"/>
      <c r="L25"/>
      <c r="M25"/>
    </row>
    <row r="26" spans="1:2" ht="13.5" customHeight="1" thickBot="1">
      <c r="A26" s="1"/>
      <c r="B26" s="68" t="s">
        <v>40</v>
      </c>
    </row>
    <row r="27" spans="1:15" ht="12.75">
      <c r="A27" s="67"/>
      <c r="B27" s="92"/>
      <c r="C27" s="246" t="s">
        <v>41</v>
      </c>
      <c r="D27" s="179" t="s">
        <v>42</v>
      </c>
      <c r="E27" s="179" t="s">
        <v>43</v>
      </c>
      <c r="F27" s="179" t="s">
        <v>44</v>
      </c>
      <c r="G27" s="243" t="s">
        <v>45</v>
      </c>
      <c r="L27" s="4"/>
      <c r="M27" s="4"/>
      <c r="O27" s="4"/>
    </row>
    <row r="28" spans="1:15" ht="12.75">
      <c r="A28" s="67"/>
      <c r="B28" s="182" t="s">
        <v>5</v>
      </c>
      <c r="C28" s="9" t="s">
        <v>23</v>
      </c>
      <c r="D28" s="9" t="s">
        <v>23</v>
      </c>
      <c r="E28" s="9" t="s">
        <v>23</v>
      </c>
      <c r="F28" s="9" t="s">
        <v>23</v>
      </c>
      <c r="G28" s="71" t="s">
        <v>23</v>
      </c>
      <c r="L28" s="4"/>
      <c r="M28" s="4"/>
      <c r="O28" s="4"/>
    </row>
    <row r="29" spans="1:15" ht="12.75">
      <c r="A29" s="67"/>
      <c r="B29" s="183" t="s">
        <v>37</v>
      </c>
      <c r="C29" s="9">
        <v>0.5</v>
      </c>
      <c r="D29" s="9">
        <v>0.5</v>
      </c>
      <c r="E29" s="9">
        <v>0.5</v>
      </c>
      <c r="F29" s="9">
        <v>0.5</v>
      </c>
      <c r="G29" s="71">
        <v>0.5</v>
      </c>
      <c r="L29" s="4"/>
      <c r="M29" s="4"/>
      <c r="O29" s="4"/>
    </row>
    <row r="30" spans="1:11" ht="12.75">
      <c r="A30" s="1"/>
      <c r="B30" s="76" t="s">
        <v>80</v>
      </c>
      <c r="C30" s="10">
        <f>VLOOKUP(C28,Configuration!$A$42:$D$59,2,FALSE)</f>
        <v>118.8</v>
      </c>
      <c r="D30" s="10">
        <f>VLOOKUP(D28,Configuration!$A$42:$D$59,2,FALSE)</f>
        <v>118.8</v>
      </c>
      <c r="E30" s="10">
        <f>VLOOKUP(E28,Configuration!$A$42:$D$59,2,FALSE)</f>
        <v>118.8</v>
      </c>
      <c r="F30" s="10">
        <f>VLOOKUP(F28,Configuration!$A$42:$D$59,2,FALSE)</f>
        <v>118.8</v>
      </c>
      <c r="G30" s="63">
        <f>VLOOKUP(G28,Configuration!$A$42:$D$59,2,FALSE)</f>
        <v>118.8</v>
      </c>
      <c r="H30" s="4"/>
      <c r="I30" s="4"/>
      <c r="J30" s="4"/>
      <c r="K30" s="4"/>
    </row>
    <row r="31" spans="1:15" ht="12.75">
      <c r="A31" s="1"/>
      <c r="B31" s="76" t="s">
        <v>82</v>
      </c>
      <c r="C31" s="10">
        <f>C30*3.6*C29</f>
        <v>213.84</v>
      </c>
      <c r="D31" s="10">
        <f>D30*3.6*D29</f>
        <v>213.84</v>
      </c>
      <c r="E31" s="10">
        <f>E30*3.6*E29</f>
        <v>213.84</v>
      </c>
      <c r="F31" s="10">
        <f>F30*3.6*F29</f>
        <v>213.84</v>
      </c>
      <c r="G31" s="63">
        <f>G30*3.6*G29</f>
        <v>213.84</v>
      </c>
      <c r="H31" s="4"/>
      <c r="I31" s="4"/>
      <c r="J31" s="4"/>
      <c r="K31" s="4"/>
      <c r="O31" s="81"/>
    </row>
    <row r="32" spans="1:15" ht="15" customHeight="1">
      <c r="A32" s="1"/>
      <c r="B32" s="76" t="s">
        <v>81</v>
      </c>
      <c r="C32" s="10">
        <f>Configuration!$B$7+Configuration!$C$7</f>
        <v>1.37</v>
      </c>
      <c r="D32" s="10">
        <f>Configuration!$B$7+Configuration!$C$7</f>
        <v>1.37</v>
      </c>
      <c r="E32" s="10">
        <f>Configuration!$B$7+Configuration!$C$7</f>
        <v>1.37</v>
      </c>
      <c r="F32" s="10">
        <f>Configuration!$B$7+Configuration!$C$7</f>
        <v>1.37</v>
      </c>
      <c r="G32" s="63">
        <f>Configuration!$B$7+Configuration!$C$7</f>
        <v>1.37</v>
      </c>
      <c r="H32" s="4"/>
      <c r="I32" s="4"/>
      <c r="J32" s="4"/>
      <c r="K32" s="4"/>
      <c r="O32" s="81"/>
    </row>
    <row r="33" spans="1:15" ht="15" customHeight="1" thickBot="1">
      <c r="A33" s="1"/>
      <c r="B33" s="90" t="s">
        <v>74</v>
      </c>
      <c r="C33" s="93">
        <f>C32*C31/1000/$C$24</f>
        <v>0.014648040000000001</v>
      </c>
      <c r="D33" s="93">
        <f>D32*D31/1000/$C$24</f>
        <v>0.014648040000000001</v>
      </c>
      <c r="E33" s="93">
        <f>E32*E31/1000/$C$24</f>
        <v>0.014648040000000001</v>
      </c>
      <c r="F33" s="93">
        <f>F32*F31/1000/$C$24</f>
        <v>0.014648040000000001</v>
      </c>
      <c r="G33" s="91">
        <f>G32*G31/1000/$C$24</f>
        <v>0.014648040000000001</v>
      </c>
      <c r="O33" s="81"/>
    </row>
    <row r="34" spans="1:15" ht="15" customHeight="1">
      <c r="A34" s="1"/>
      <c r="B34" s="167" t="s">
        <v>207</v>
      </c>
      <c r="O34" s="81"/>
    </row>
    <row r="35" spans="1:15" ht="15" customHeight="1">
      <c r="A35" s="1"/>
      <c r="B35" s="168" t="s">
        <v>208</v>
      </c>
      <c r="O35" s="81"/>
    </row>
    <row r="36" spans="1:15" ht="15" customHeight="1">
      <c r="A36" s="1"/>
      <c r="B36" s="68"/>
      <c r="O36" s="81"/>
    </row>
    <row r="37" spans="1:15" ht="13.5" thickBot="1">
      <c r="A37" s="1"/>
      <c r="B37" s="3" t="s">
        <v>95</v>
      </c>
      <c r="O37" s="81"/>
    </row>
    <row r="38" spans="1:15" s="4" customFormat="1" ht="12.75">
      <c r="A38" s="1"/>
      <c r="B38" s="92"/>
      <c r="C38" s="179" t="s">
        <v>96</v>
      </c>
      <c r="D38" s="179" t="s">
        <v>97</v>
      </c>
      <c r="E38" s="179" t="s">
        <v>98</v>
      </c>
      <c r="F38" s="179" t="s">
        <v>99</v>
      </c>
      <c r="G38" s="243" t="s">
        <v>100</v>
      </c>
      <c r="H38"/>
      <c r="I38"/>
      <c r="J38"/>
      <c r="K38"/>
      <c r="L38"/>
      <c r="M38"/>
      <c r="O38"/>
    </row>
    <row r="39" spans="1:15" s="4" customFormat="1" ht="12.75">
      <c r="A39" s="1"/>
      <c r="B39" s="183" t="s">
        <v>54</v>
      </c>
      <c r="C39" s="94" t="s">
        <v>71</v>
      </c>
      <c r="D39" s="94" t="s">
        <v>71</v>
      </c>
      <c r="E39" s="94" t="s">
        <v>71</v>
      </c>
      <c r="F39" s="94" t="s">
        <v>71</v>
      </c>
      <c r="G39" s="98" t="s">
        <v>71</v>
      </c>
      <c r="H39"/>
      <c r="I39"/>
      <c r="J39"/>
      <c r="K39"/>
      <c r="L39"/>
      <c r="M39"/>
      <c r="O39"/>
    </row>
    <row r="40" spans="1:15" s="4" customFormat="1" ht="12.75">
      <c r="A40" s="1"/>
      <c r="B40" s="183" t="s">
        <v>6</v>
      </c>
      <c r="C40" s="94">
        <v>2.5</v>
      </c>
      <c r="D40" s="94">
        <v>2.5</v>
      </c>
      <c r="E40" s="94">
        <v>2.5</v>
      </c>
      <c r="F40" s="94">
        <v>2.5</v>
      </c>
      <c r="G40" s="98">
        <v>2.5</v>
      </c>
      <c r="H40"/>
      <c r="I40"/>
      <c r="J40"/>
      <c r="K40"/>
      <c r="L40"/>
      <c r="M40"/>
      <c r="O40"/>
    </row>
    <row r="41" spans="1:7" ht="12.75">
      <c r="A41" s="1"/>
      <c r="B41" s="183" t="s">
        <v>83</v>
      </c>
      <c r="C41" s="94">
        <v>10000</v>
      </c>
      <c r="D41" s="94">
        <v>10000</v>
      </c>
      <c r="E41" s="94">
        <v>10000</v>
      </c>
      <c r="F41" s="94">
        <v>10000</v>
      </c>
      <c r="G41" s="98">
        <v>10000</v>
      </c>
    </row>
    <row r="42" spans="1:13" ht="12.75">
      <c r="A42" s="67"/>
      <c r="B42" s="76" t="s">
        <v>72</v>
      </c>
      <c r="C42" s="95">
        <f>C41*C40</f>
        <v>25000</v>
      </c>
      <c r="D42" s="95">
        <f>D41*D40</f>
        <v>25000</v>
      </c>
      <c r="E42" s="95">
        <f>E41*E40</f>
        <v>25000</v>
      </c>
      <c r="F42" s="95">
        <f>F41*F40</f>
        <v>25000</v>
      </c>
      <c r="G42" s="77">
        <f>G41*G40</f>
        <v>25000</v>
      </c>
      <c r="L42" s="4"/>
      <c r="M42" s="4"/>
    </row>
    <row r="43" spans="1:13" ht="12.75">
      <c r="A43" s="67"/>
      <c r="B43" s="183" t="s">
        <v>73</v>
      </c>
      <c r="C43" s="96">
        <v>0.2</v>
      </c>
      <c r="D43" s="96">
        <v>0.2</v>
      </c>
      <c r="E43" s="96">
        <v>0.2</v>
      </c>
      <c r="F43" s="96">
        <v>1</v>
      </c>
      <c r="G43" s="73">
        <v>0.5</v>
      </c>
      <c r="L43" s="4"/>
      <c r="M43" s="4"/>
    </row>
    <row r="44" spans="1:13" ht="12.75">
      <c r="A44" s="67"/>
      <c r="B44" s="76" t="s">
        <v>15</v>
      </c>
      <c r="C44" s="97">
        <f>VLOOKUP(C39,Configuration!$A$5:$C$12,2,FALSE)</f>
        <v>1.23</v>
      </c>
      <c r="D44" s="97">
        <f>VLOOKUP(D39,Configuration!$A$5:$C$12,2,FALSE)</f>
        <v>1.23</v>
      </c>
      <c r="E44" s="97">
        <f>VLOOKUP(E39,Configuration!$A$5:$C$12,2,FALSE)</f>
        <v>1.23</v>
      </c>
      <c r="F44" s="97">
        <f>VLOOKUP(F39,Configuration!$A$5:$C$12,2,FALSE)</f>
        <v>1.23</v>
      </c>
      <c r="G44" s="74">
        <f>VLOOKUP(G39,Configuration!$A$5:$C$12,2,FALSE)</f>
        <v>1.23</v>
      </c>
      <c r="L44" s="4"/>
      <c r="M44" s="4"/>
    </row>
    <row r="45" spans="1:11" ht="12.75">
      <c r="A45" s="1"/>
      <c r="B45" s="76" t="s">
        <v>16</v>
      </c>
      <c r="C45" s="97">
        <f>VLOOKUP(C39,Configuration!$A$5:$C$12,3,FALSE)</f>
        <v>0.14</v>
      </c>
      <c r="D45" s="97">
        <f>VLOOKUP(D39,Configuration!$A$5:$C$12,3,FALSE)</f>
        <v>0.14</v>
      </c>
      <c r="E45" s="97">
        <f>VLOOKUP(E39,Configuration!$A$5:$C$12,3,FALSE)</f>
        <v>0.14</v>
      </c>
      <c r="F45" s="97">
        <f>VLOOKUP(F39,Configuration!$A$5:$C$12,3,FALSE)</f>
        <v>0.14</v>
      </c>
      <c r="G45" s="74">
        <f>VLOOKUP(G39,Configuration!$A$5:$C$12,3,FALSE)</f>
        <v>0.14</v>
      </c>
      <c r="H45" s="4"/>
      <c r="I45" s="4"/>
      <c r="J45" s="4"/>
      <c r="K45" s="4"/>
    </row>
    <row r="46" spans="1:11" ht="12.75">
      <c r="A46" s="1"/>
      <c r="B46" s="104" t="s">
        <v>105</v>
      </c>
      <c r="C46" s="105">
        <f aca="true" t="shared" si="0" ref="C46:G47">C44*(1-C$43)*C$42/1000</f>
        <v>24.6</v>
      </c>
      <c r="D46" s="109">
        <f t="shared" si="0"/>
        <v>24.6</v>
      </c>
      <c r="E46" s="109">
        <f t="shared" si="0"/>
        <v>24.6</v>
      </c>
      <c r="F46" s="109">
        <f t="shared" si="0"/>
        <v>0</v>
      </c>
      <c r="G46" s="110">
        <f t="shared" si="0"/>
        <v>15.375</v>
      </c>
      <c r="H46" s="4"/>
      <c r="I46" s="4"/>
      <c r="J46" s="4"/>
      <c r="K46" s="4"/>
    </row>
    <row r="47" spans="1:11" ht="12.75">
      <c r="A47" s="1"/>
      <c r="B47" s="104" t="s">
        <v>103</v>
      </c>
      <c r="C47" s="105">
        <f t="shared" si="0"/>
        <v>2.8000000000000003</v>
      </c>
      <c r="D47" s="109">
        <f t="shared" si="0"/>
        <v>2.8000000000000003</v>
      </c>
      <c r="E47" s="109">
        <f t="shared" si="0"/>
        <v>2.8000000000000003</v>
      </c>
      <c r="F47" s="109">
        <f t="shared" si="0"/>
        <v>0</v>
      </c>
      <c r="G47" s="110">
        <f t="shared" si="0"/>
        <v>1.7500000000000002</v>
      </c>
      <c r="H47" s="4"/>
      <c r="I47" s="4"/>
      <c r="J47" s="4"/>
      <c r="K47" s="4"/>
    </row>
    <row r="48" spans="1:7" ht="13.5" thickBot="1">
      <c r="A48" s="1"/>
      <c r="B48" s="72" t="s">
        <v>3</v>
      </c>
      <c r="C48" s="99">
        <f>SUM(C45,C44)*(1-C43)*C42/1000</f>
        <v>27.400000000000002</v>
      </c>
      <c r="D48" s="99">
        <f>SUM(D45,D44)*(1-D43)*D42/1000</f>
        <v>27.400000000000002</v>
      </c>
      <c r="E48" s="99">
        <f>SUM(E45,E44)*(1-E43)*E42/1000</f>
        <v>27.400000000000002</v>
      </c>
      <c r="F48" s="99">
        <f>SUM(F45,F44)*(1-F43)*F42/1000</f>
        <v>0</v>
      </c>
      <c r="G48" s="75">
        <f>SUM(G45,G44)*(1-G43)*G42/1000</f>
        <v>17.125</v>
      </c>
    </row>
    <row r="49" spans="1:5" ht="12.75">
      <c r="A49" s="1"/>
      <c r="B49" s="66"/>
      <c r="C49" s="66"/>
      <c r="D49" s="66"/>
      <c r="E49" s="66"/>
    </row>
    <row r="50" ht="13.5" thickBot="1">
      <c r="B50" s="3" t="s">
        <v>84</v>
      </c>
    </row>
    <row r="51" spans="2:7" ht="12.75">
      <c r="B51" s="92"/>
      <c r="C51" s="179" t="s">
        <v>85</v>
      </c>
      <c r="D51" s="179" t="s">
        <v>86</v>
      </c>
      <c r="E51" s="179" t="s">
        <v>87</v>
      </c>
      <c r="F51" s="179" t="s">
        <v>88</v>
      </c>
      <c r="G51" s="243" t="s">
        <v>89</v>
      </c>
    </row>
    <row r="52" spans="2:7" ht="12.75">
      <c r="B52" s="183" t="s">
        <v>54</v>
      </c>
      <c r="C52" s="94" t="s">
        <v>60</v>
      </c>
      <c r="D52" s="94" t="s">
        <v>60</v>
      </c>
      <c r="E52" s="94" t="s">
        <v>60</v>
      </c>
      <c r="F52" s="94" t="s">
        <v>60</v>
      </c>
      <c r="G52" s="98" t="s">
        <v>60</v>
      </c>
    </row>
    <row r="53" spans="2:7" ht="12.75">
      <c r="B53" s="183" t="s">
        <v>6</v>
      </c>
      <c r="C53" s="94">
        <v>2.5</v>
      </c>
      <c r="D53" s="94">
        <v>2.5</v>
      </c>
      <c r="E53" s="94">
        <v>2.5</v>
      </c>
      <c r="F53" s="94">
        <v>2.5</v>
      </c>
      <c r="G53" s="98">
        <v>2.5</v>
      </c>
    </row>
    <row r="54" spans="2:7" ht="12.75">
      <c r="B54" s="183" t="s">
        <v>83</v>
      </c>
      <c r="C54" s="94">
        <v>10000</v>
      </c>
      <c r="D54" s="94">
        <v>10000</v>
      </c>
      <c r="E54" s="94">
        <v>10000</v>
      </c>
      <c r="F54" s="94">
        <v>10000</v>
      </c>
      <c r="G54" s="98">
        <v>10000</v>
      </c>
    </row>
    <row r="55" spans="2:7" ht="12.75">
      <c r="B55" s="76" t="s">
        <v>72</v>
      </c>
      <c r="C55" s="95">
        <f>C54*C53</f>
        <v>25000</v>
      </c>
      <c r="D55" s="95">
        <f>D54*D53</f>
        <v>25000</v>
      </c>
      <c r="E55" s="95">
        <f>E54*E53</f>
        <v>25000</v>
      </c>
      <c r="F55" s="95">
        <f>F54*F53</f>
        <v>25000</v>
      </c>
      <c r="G55" s="77">
        <f>G54*G53</f>
        <v>25000</v>
      </c>
    </row>
    <row r="56" spans="2:7" ht="12.75">
      <c r="B56" s="183" t="s">
        <v>73</v>
      </c>
      <c r="C56" s="96">
        <v>0.2</v>
      </c>
      <c r="D56" s="96">
        <v>0.5</v>
      </c>
      <c r="E56" s="96">
        <v>0.15</v>
      </c>
      <c r="F56" s="96">
        <v>0.2</v>
      </c>
      <c r="G56" s="73">
        <v>0.2</v>
      </c>
    </row>
    <row r="57" spans="2:7" ht="12.75">
      <c r="B57" s="76" t="s">
        <v>15</v>
      </c>
      <c r="C57" s="97">
        <f>VLOOKUP(C52,Configuration!$A$5:$C$12,2,FALSE)</f>
        <v>1.23</v>
      </c>
      <c r="D57" s="97">
        <f>VLOOKUP(D52,Configuration!$A$5:$C$12,2,FALSE)</f>
        <v>1.23</v>
      </c>
      <c r="E57" s="97">
        <f>VLOOKUP(E52,Configuration!$A$5:$C$12,2,FALSE)</f>
        <v>1.23</v>
      </c>
      <c r="F57" s="97">
        <f>VLOOKUP(F52,Configuration!$A$5:$C$12,2,FALSE)</f>
        <v>1.23</v>
      </c>
      <c r="G57" s="74">
        <f>VLOOKUP(G52,Configuration!$A$5:$C$12,2,FALSE)</f>
        <v>1.23</v>
      </c>
    </row>
    <row r="58" spans="2:7" ht="12.75">
      <c r="B58" s="76" t="s">
        <v>16</v>
      </c>
      <c r="C58" s="97">
        <f>VLOOKUP(C52,Configuration!$A$5:$C$12,3,FALSE)</f>
        <v>0.14</v>
      </c>
      <c r="D58" s="97">
        <f>VLOOKUP(D52,Configuration!$A$5:$C$12,3,FALSE)</f>
        <v>0.14</v>
      </c>
      <c r="E58" s="97">
        <f>VLOOKUP(E52,Configuration!$A$5:$C$12,3,FALSE)</f>
        <v>0.14</v>
      </c>
      <c r="F58" s="97">
        <f>VLOOKUP(F52,Configuration!$A$5:$C$12,3,FALSE)</f>
        <v>0.14</v>
      </c>
      <c r="G58" s="74">
        <f>VLOOKUP(G52,Configuration!$A$5:$C$12,3,FALSE)</f>
        <v>0.14</v>
      </c>
    </row>
    <row r="59" spans="2:7" ht="12.75">
      <c r="B59" s="104" t="s">
        <v>105</v>
      </c>
      <c r="C59" s="105">
        <f aca="true" t="shared" si="1" ref="C59:G60">C57*(1-C$56)*C$55/1000</f>
        <v>24.6</v>
      </c>
      <c r="D59" s="109">
        <f t="shared" si="1"/>
        <v>15.375</v>
      </c>
      <c r="E59" s="109">
        <f t="shared" si="1"/>
        <v>26.137499999999996</v>
      </c>
      <c r="F59" s="109">
        <f t="shared" si="1"/>
        <v>24.6</v>
      </c>
      <c r="G59" s="110">
        <f t="shared" si="1"/>
        <v>24.6</v>
      </c>
    </row>
    <row r="60" spans="2:7" ht="12.75">
      <c r="B60" s="104" t="s">
        <v>103</v>
      </c>
      <c r="C60" s="105">
        <f t="shared" si="1"/>
        <v>2.8000000000000003</v>
      </c>
      <c r="D60" s="109">
        <f t="shared" si="1"/>
        <v>1.7500000000000002</v>
      </c>
      <c r="E60" s="109">
        <f t="shared" si="1"/>
        <v>2.975</v>
      </c>
      <c r="F60" s="109">
        <f t="shared" si="1"/>
        <v>2.8000000000000003</v>
      </c>
      <c r="G60" s="110">
        <f t="shared" si="1"/>
        <v>2.8000000000000003</v>
      </c>
    </row>
    <row r="61" spans="2:7" ht="13.5" thickBot="1">
      <c r="B61" s="72" t="s">
        <v>3</v>
      </c>
      <c r="C61" s="99">
        <f>SUM(C58,C57)*(1-C56)*C55/1000</f>
        <v>27.400000000000002</v>
      </c>
      <c r="D61" s="99">
        <f>SUM(D58,D57)*(1-D56)*D55/1000</f>
        <v>17.125</v>
      </c>
      <c r="E61" s="99">
        <f>SUM(E58,E57)*(1-E56)*E55/1000</f>
        <v>29.112500000000004</v>
      </c>
      <c r="F61" s="99">
        <f>SUM(F58,F57)*(1-F56)*F55/1000</f>
        <v>27.400000000000002</v>
      </c>
      <c r="G61" s="75">
        <f>SUM(G58,G57)*(1-G56)*G55/1000</f>
        <v>27.400000000000002</v>
      </c>
    </row>
    <row r="62" ht="12.75">
      <c r="F62" s="18"/>
    </row>
    <row r="63" ht="13.5" thickBot="1">
      <c r="B63" s="3" t="s">
        <v>167</v>
      </c>
    </row>
    <row r="64" spans="2:7" ht="12.75">
      <c r="B64" s="92"/>
      <c r="C64" s="179" t="s">
        <v>96</v>
      </c>
      <c r="D64" s="179" t="s">
        <v>97</v>
      </c>
      <c r="E64" s="179" t="s">
        <v>98</v>
      </c>
      <c r="F64" s="179" t="s">
        <v>99</v>
      </c>
      <c r="G64" s="243" t="s">
        <v>100</v>
      </c>
    </row>
    <row r="65" spans="2:7" ht="12.75">
      <c r="B65" s="183" t="s">
        <v>54</v>
      </c>
      <c r="C65" s="94" t="s">
        <v>71</v>
      </c>
      <c r="D65" s="94" t="s">
        <v>71</v>
      </c>
      <c r="E65" s="94" t="s">
        <v>71</v>
      </c>
      <c r="F65" s="94" t="s">
        <v>71</v>
      </c>
      <c r="G65" s="98" t="s">
        <v>71</v>
      </c>
    </row>
    <row r="66" spans="2:7" ht="12.75">
      <c r="B66" s="183" t="s">
        <v>168</v>
      </c>
      <c r="C66" s="94">
        <v>30</v>
      </c>
      <c r="D66" s="94">
        <v>2.5</v>
      </c>
      <c r="E66" s="94">
        <v>2.5</v>
      </c>
      <c r="F66" s="94">
        <v>2.5</v>
      </c>
      <c r="G66" s="98">
        <v>2.5</v>
      </c>
    </row>
    <row r="67" spans="2:7" ht="12.75">
      <c r="B67" s="183" t="s">
        <v>83</v>
      </c>
      <c r="C67" s="94">
        <v>10000</v>
      </c>
      <c r="D67" s="94">
        <v>10000</v>
      </c>
      <c r="E67" s="94">
        <v>10000</v>
      </c>
      <c r="F67" s="94">
        <v>10000</v>
      </c>
      <c r="G67" s="98">
        <v>10000</v>
      </c>
    </row>
    <row r="68" spans="2:7" ht="12.75">
      <c r="B68" s="76" t="s">
        <v>169</v>
      </c>
      <c r="C68" s="95">
        <f>C67*C66</f>
        <v>300000</v>
      </c>
      <c r="D68" s="95">
        <f>D67*D66</f>
        <v>25000</v>
      </c>
      <c r="E68" s="95">
        <f>E67*E66</f>
        <v>25000</v>
      </c>
      <c r="F68" s="95">
        <f>F67*F66</f>
        <v>25000</v>
      </c>
      <c r="G68" s="77">
        <f>G67*G66</f>
        <v>25000</v>
      </c>
    </row>
    <row r="69" spans="2:7" ht="12.75">
      <c r="B69" s="76" t="s">
        <v>170</v>
      </c>
      <c r="C69" s="97">
        <f>VLOOKUP(C65,Configuration!$A$16:$C$24,2,FALSE)</f>
        <v>51.3</v>
      </c>
      <c r="D69" s="97">
        <f>VLOOKUP(D65,Configuration!$A$5:$C$12,2,FALSE)</f>
        <v>1.23</v>
      </c>
      <c r="E69" s="97">
        <f>VLOOKUP(E65,Configuration!$A$5:$C$12,2,FALSE)</f>
        <v>1.23</v>
      </c>
      <c r="F69" s="97">
        <f>VLOOKUP(F65,Configuration!$A$5:$C$12,2,FALSE)</f>
        <v>1.23</v>
      </c>
      <c r="G69" s="74">
        <f>VLOOKUP(G65,Configuration!$A$5:$C$12,2,FALSE)</f>
        <v>1.23</v>
      </c>
    </row>
    <row r="70" spans="2:7" ht="12.75">
      <c r="B70" s="76" t="s">
        <v>171</v>
      </c>
      <c r="C70" s="97">
        <f>VLOOKUP(C65,Configuration!$A$16:$C$24,3,FALSE)</f>
        <v>5.9</v>
      </c>
      <c r="D70" s="97">
        <f>VLOOKUP(D65,Configuration!$A$5:$C$12,3,FALSE)</f>
        <v>0.14</v>
      </c>
      <c r="E70" s="97">
        <f>VLOOKUP(E65,Configuration!$A$5:$C$12,3,FALSE)</f>
        <v>0.14</v>
      </c>
      <c r="F70" s="97">
        <f>VLOOKUP(F65,Configuration!$A$5:$C$12,3,FALSE)</f>
        <v>0.14</v>
      </c>
      <c r="G70" s="74">
        <f>VLOOKUP(G65,Configuration!$A$5:$C$12,3,FALSE)</f>
        <v>0.14</v>
      </c>
    </row>
    <row r="71" spans="2:7" ht="12.75">
      <c r="B71" s="104" t="s">
        <v>102</v>
      </c>
      <c r="C71" s="105">
        <f aca="true" t="shared" si="2" ref="C71:G72">C69*(C$68/1000)/1000</f>
        <v>15.39</v>
      </c>
      <c r="D71" s="109">
        <f t="shared" si="2"/>
        <v>0.03075</v>
      </c>
      <c r="E71" s="109">
        <f t="shared" si="2"/>
        <v>0.03075</v>
      </c>
      <c r="F71" s="109">
        <f t="shared" si="2"/>
        <v>0.03075</v>
      </c>
      <c r="G71" s="110">
        <f t="shared" si="2"/>
        <v>0.03075</v>
      </c>
    </row>
    <row r="72" spans="2:7" ht="12.75">
      <c r="B72" s="104" t="s">
        <v>103</v>
      </c>
      <c r="C72" s="105">
        <f t="shared" si="2"/>
        <v>1.77</v>
      </c>
      <c r="D72" s="109">
        <f t="shared" si="2"/>
        <v>0.0035000000000000005</v>
      </c>
      <c r="E72" s="109">
        <f t="shared" si="2"/>
        <v>0.0035000000000000005</v>
      </c>
      <c r="F72" s="109">
        <f t="shared" si="2"/>
        <v>0.0035000000000000005</v>
      </c>
      <c r="G72" s="110">
        <f t="shared" si="2"/>
        <v>0.0035000000000000005</v>
      </c>
    </row>
    <row r="73" spans="2:7" ht="13.5" thickBot="1">
      <c r="B73" s="72" t="s">
        <v>3</v>
      </c>
      <c r="C73" s="99">
        <f>SUM(C72,C71)</f>
        <v>17.16</v>
      </c>
      <c r="D73" s="99">
        <f>SUM(D72,D71)</f>
        <v>0.03425</v>
      </c>
      <c r="E73" s="99">
        <f>SUM(E72,E71)</f>
        <v>0.03425</v>
      </c>
      <c r="F73" s="99">
        <f>SUM(F72,F71)</f>
        <v>0.03425</v>
      </c>
      <c r="G73" s="75">
        <f>SUM(G72,G71)</f>
        <v>0.03425</v>
      </c>
    </row>
    <row r="123" ht="12.75">
      <c r="B123" t="s">
        <v>17</v>
      </c>
    </row>
    <row r="124" ht="12.75">
      <c r="B124"/>
    </row>
    <row r="125" ht="12.75">
      <c r="B125" s="81" t="str">
        <f>Configuration!A5</f>
        <v>NSW</v>
      </c>
    </row>
    <row r="126" ht="12.75">
      <c r="B126" s="81" t="str">
        <f>Configuration!A6</f>
        <v>ACT</v>
      </c>
    </row>
    <row r="127" ht="12.75">
      <c r="B127" s="81" t="str">
        <f>Configuration!A7</f>
        <v>VIC</v>
      </c>
    </row>
    <row r="128" ht="12.75">
      <c r="B128" s="81" t="str">
        <f>Configuration!A8</f>
        <v>QLD</v>
      </c>
    </row>
    <row r="129" ht="12.75">
      <c r="B129" s="81" t="str">
        <f>Configuration!A9</f>
        <v>SA</v>
      </c>
    </row>
    <row r="130" ht="12.75">
      <c r="B130" s="81" t="str">
        <f>Configuration!A10</f>
        <v>WA</v>
      </c>
    </row>
    <row r="131" ht="12.75">
      <c r="B131" s="81" t="str">
        <f>Configuration!A11</f>
        <v>TAS</v>
      </c>
    </row>
    <row r="132" ht="12.75">
      <c r="B132" s="81" t="str">
        <f>Configuration!A12</f>
        <v>NT</v>
      </c>
    </row>
    <row r="133" ht="12.75">
      <c r="B133" s="131" t="str">
        <f>Configuration!A63</f>
        <v>Managed aerobic</v>
      </c>
    </row>
    <row r="134" ht="12.75">
      <c r="B134" s="131" t="str">
        <f>Configuration!A64</f>
        <v>Unmanaged aerobic</v>
      </c>
    </row>
    <row r="135" ht="12.75">
      <c r="B135" s="131" t="str">
        <f>Configuration!A65</f>
        <v>Anaerobic digestor/reactor</v>
      </c>
    </row>
    <row r="136" ht="12.75">
      <c r="B136" s="131" t="str">
        <f>Configuration!A66</f>
        <v>Shallow anaerobic lagoon (&lt;2m)</v>
      </c>
    </row>
    <row r="137" ht="12.75">
      <c r="B137" s="131" t="str">
        <f>Configuration!A67</f>
        <v>Deep anaerobic lagoon (&gt;2m)</v>
      </c>
    </row>
    <row r="138" ht="12.75">
      <c r="B138" s="81" t="str">
        <f>Configuration!A43</f>
        <v>Hardboard</v>
      </c>
    </row>
    <row r="139" ht="12.75">
      <c r="B139" s="81" t="str">
        <f>Configuration!A44</f>
        <v>Concrete</v>
      </c>
    </row>
    <row r="140" ht="12.75">
      <c r="B140" s="81" t="str">
        <f>Configuration!A45</f>
        <v>Cement</v>
      </c>
    </row>
    <row r="141" ht="12.75">
      <c r="B141" s="81" t="str">
        <f>Configuration!A46</f>
        <v>PVC</v>
      </c>
    </row>
    <row r="142" ht="12.75">
      <c r="B142" s="81" t="str">
        <f>Configuration!A47</f>
        <v>Glass</v>
      </c>
    </row>
    <row r="143" ht="12.75">
      <c r="B143" s="81" t="str">
        <f>Configuration!A48</f>
        <v>Aluminium</v>
      </c>
    </row>
    <row r="144" ht="12.75">
      <c r="B144" s="81" t="str">
        <f>Configuration!A49</f>
        <v>Gravel</v>
      </c>
    </row>
    <row r="145" ht="12.75">
      <c r="B145" s="81" t="str">
        <f>Configuration!A50</f>
        <v>Copper</v>
      </c>
    </row>
    <row r="146" ht="12.75">
      <c r="B146" s="81" t="str">
        <f>Configuration!A51</f>
        <v>Galvanised Steel</v>
      </c>
    </row>
    <row r="147" ht="12.75">
      <c r="B147" s="81" t="str">
        <f>Configuration!A52</f>
        <v>Particleboard</v>
      </c>
    </row>
    <row r="148" ht="12.75">
      <c r="B148" s="81" t="str">
        <f>Configuration!A53</f>
        <v>Plywood</v>
      </c>
    </row>
    <row r="149" ht="12.75">
      <c r="B149" s="81" t="str">
        <f>Configuration!A54</f>
        <v>Plastics</v>
      </c>
    </row>
    <row r="150" ht="12.75">
      <c r="B150" s="81" t="str">
        <f>Configuration!A55</f>
        <v>Synthetic rubber</v>
      </c>
    </row>
    <row r="151" ht="12.75">
      <c r="B151" s="81" t="str">
        <f>Configuration!A56</f>
        <v>Acrylic paint</v>
      </c>
    </row>
    <row r="152" ht="12.75">
      <c r="B152" s="81" t="str">
        <f>Configuration!A57</f>
        <v>Plasterboard</v>
      </c>
    </row>
    <row r="153" ht="12.75">
      <c r="B153" s="81" t="str">
        <f>Configuration!A58</f>
        <v>Clay bricks</v>
      </c>
    </row>
    <row r="154" ht="12.75">
      <c r="B154" s="81" t="str">
        <f>Configuration!A59</f>
        <v>stabilised earth</v>
      </c>
    </row>
    <row r="155" ht="12.75">
      <c r="B155" s="81"/>
    </row>
  </sheetData>
  <sheetProtection/>
  <mergeCells count="4">
    <mergeCell ref="B11:B13"/>
    <mergeCell ref="B14:C14"/>
    <mergeCell ref="B15:C15"/>
    <mergeCell ref="B8:B10"/>
  </mergeCells>
  <dataValidations count="2">
    <dataValidation type="list" allowBlank="1" showInputMessage="1" showErrorMessage="1" sqref="C28:G28">
      <formula1>$B$138:$B$154</formula1>
    </dataValidation>
    <dataValidation type="list" allowBlank="1" showInputMessage="1" showErrorMessage="1" sqref="C39:G39 C52:G52 C65:G65">
      <formula1>$B$125:$B$132</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7"/>
  </sheetPr>
  <dimension ref="A1:O166"/>
  <sheetViews>
    <sheetView showGridLines="0" zoomScale="90" zoomScaleNormal="90" zoomScalePageLayoutView="0" workbookViewId="0" topLeftCell="A10">
      <selection activeCell="F83" sqref="F83"/>
    </sheetView>
  </sheetViews>
  <sheetFormatPr defaultColWidth="9.140625" defaultRowHeight="12.75"/>
  <cols>
    <col min="1" max="1" width="5.140625" style="0" customWidth="1"/>
    <col min="2" max="2" width="55.28125" style="2" customWidth="1"/>
    <col min="3" max="3" width="24.421875" style="0" customWidth="1"/>
    <col min="4" max="4" width="24.28125" style="0" customWidth="1"/>
    <col min="5" max="5" width="23.00390625" style="0" customWidth="1"/>
    <col min="6" max="7" width="19.140625" style="0" customWidth="1"/>
    <col min="15" max="15" width="32.57421875" style="0" customWidth="1"/>
  </cols>
  <sheetData>
    <row r="1" spans="1:5" ht="15.75" thickBot="1">
      <c r="A1" s="47"/>
      <c r="B1" s="116" t="s">
        <v>107</v>
      </c>
      <c r="C1" s="115" t="s">
        <v>144</v>
      </c>
      <c r="D1" s="49"/>
      <c r="E1" s="48"/>
    </row>
    <row r="2" ht="13.5" thickBot="1"/>
    <row r="3" spans="1:4" ht="153.75" thickBot="1">
      <c r="A3" s="1"/>
      <c r="B3" s="190" t="s">
        <v>268</v>
      </c>
      <c r="D3" s="9" t="s">
        <v>62</v>
      </c>
    </row>
    <row r="4" spans="1:4" ht="12.75">
      <c r="A4" s="1"/>
      <c r="D4" s="10" t="s">
        <v>52</v>
      </c>
    </row>
    <row r="5" spans="1:2" ht="15" customHeight="1" thickBot="1">
      <c r="A5" s="1"/>
      <c r="B5" s="3" t="s">
        <v>106</v>
      </c>
    </row>
    <row r="6" spans="1:5" s="4" customFormat="1" ht="29.25" customHeight="1">
      <c r="A6" s="67"/>
      <c r="B6" s="186"/>
      <c r="C6" s="187"/>
      <c r="D6" s="12" t="s">
        <v>245</v>
      </c>
      <c r="E6" s="13" t="s">
        <v>246</v>
      </c>
    </row>
    <row r="7" spans="1:5" ht="24.75" customHeight="1" thickBot="1">
      <c r="A7" s="1"/>
      <c r="B7" s="201"/>
      <c r="C7" s="202" t="s">
        <v>184</v>
      </c>
      <c r="D7" s="203" t="str">
        <f>C1</f>
        <v>Wastewater - water mining</v>
      </c>
      <c r="E7" s="204" t="str">
        <f>C1</f>
        <v>Wastewater - water mining</v>
      </c>
    </row>
    <row r="8" spans="1:5" ht="15" customHeight="1">
      <c r="A8" s="1"/>
      <c r="B8" s="288" t="s">
        <v>118</v>
      </c>
      <c r="C8" s="227" t="s">
        <v>190</v>
      </c>
      <c r="D8" s="211">
        <f>$C$18*Baseline!$C$6/1000</f>
        <v>0.18</v>
      </c>
      <c r="E8" s="212">
        <f>$C$20*Baseline!$C$6/1000</f>
        <v>0.18</v>
      </c>
    </row>
    <row r="9" spans="1:5" ht="15" customHeight="1">
      <c r="A9" s="1"/>
      <c r="B9" s="289"/>
      <c r="C9" s="228" t="s">
        <v>191</v>
      </c>
      <c r="D9" s="195">
        <f>$C$19*Baseline!$C$11/1000</f>
        <v>1.11</v>
      </c>
      <c r="E9" s="196">
        <f>$C$20*Baseline!$C$11/1000</f>
        <v>1.48</v>
      </c>
    </row>
    <row r="10" spans="1:5" ht="15" customHeight="1" thickBot="1">
      <c r="A10" s="1"/>
      <c r="B10" s="290"/>
      <c r="C10" s="229" t="s">
        <v>219</v>
      </c>
      <c r="D10" s="213">
        <f>SUM(D8:D9)</f>
        <v>1.29</v>
      </c>
      <c r="E10" s="214">
        <f>SUM(E8:E9)</f>
        <v>1.66</v>
      </c>
    </row>
    <row r="11" spans="1:5" ht="15" customHeight="1">
      <c r="A11" s="1"/>
      <c r="B11" s="282" t="s">
        <v>119</v>
      </c>
      <c r="C11" s="205" t="s">
        <v>192</v>
      </c>
      <c r="D11" s="206">
        <f>SUM($C$71:$G$71)+SUM($C$80:$G$80)</f>
        <v>16127.290500000001</v>
      </c>
      <c r="E11" s="207">
        <f>SUM($C$71:$G$71)+SUM($C$80:$G$80)</f>
        <v>16127.290500000001</v>
      </c>
    </row>
    <row r="12" spans="1:5" ht="15" customHeight="1">
      <c r="A12" s="1"/>
      <c r="B12" s="283"/>
      <c r="C12" s="119" t="s">
        <v>188</v>
      </c>
      <c r="D12" s="197">
        <f>SUM($C$44:$G$44)+SUM($C$57:$G$57)</f>
        <v>12.3</v>
      </c>
      <c r="E12" s="198">
        <f>SUM($C$44:$G$44)+SUM($C$57:$G$57)</f>
        <v>12.3</v>
      </c>
    </row>
    <row r="13" spans="1:5" ht="15" customHeight="1">
      <c r="A13" s="1"/>
      <c r="B13" s="283"/>
      <c r="C13" s="119" t="s">
        <v>189</v>
      </c>
      <c r="D13" s="197">
        <f>SUM($C$33:$G$33)+SUM($C$47:$G$47)+SUM($C$60:$G$60)+SUM($C$72:$G$72)+$C$21*Baseline!$C$6/1000+$C$22*Baseline!$C$11/1000</f>
        <v>26.224657620000002</v>
      </c>
      <c r="E13" s="198">
        <f>SUM($C$47:$G$47)+SUM($C$60:$G$60)+SUM($C$72:$G$72)+$C$21*Baseline!$C$6/1000+$C$22*Baseline!$C$11/1000</f>
        <v>26.169</v>
      </c>
    </row>
    <row r="14" spans="1:5" ht="15" customHeight="1">
      <c r="A14" s="1"/>
      <c r="B14" s="284" t="s">
        <v>120</v>
      </c>
      <c r="C14" s="285"/>
      <c r="D14" s="185">
        <f>SUM(D11:D13)</f>
        <v>16165.81515762</v>
      </c>
      <c r="E14" s="122">
        <f>SUM(E11:E13)</f>
        <v>16165.7595</v>
      </c>
    </row>
    <row r="15" spans="1:5" ht="15" customHeight="1" thickBot="1">
      <c r="A15" s="1"/>
      <c r="B15" s="286" t="s">
        <v>121</v>
      </c>
      <c r="C15" s="287"/>
      <c r="D15" s="136">
        <f>D14-SUM(D8:D9)</f>
        <v>16164.525157619999</v>
      </c>
      <c r="E15" s="114">
        <f>E14-SUM(E8:E9)</f>
        <v>16164.0995</v>
      </c>
    </row>
    <row r="16" spans="1:4" ht="15" customHeight="1">
      <c r="A16" s="1"/>
      <c r="B16" s="68"/>
      <c r="D16" s="188" t="s">
        <v>262</v>
      </c>
    </row>
    <row r="17" spans="1:4" ht="15" customHeight="1" thickBot="1">
      <c r="A17" s="1"/>
      <c r="B17" s="68" t="s">
        <v>116</v>
      </c>
      <c r="D17" s="188" t="s">
        <v>263</v>
      </c>
    </row>
    <row r="18" spans="1:3" ht="15" customHeight="1">
      <c r="A18" s="1"/>
      <c r="B18" s="225" t="s">
        <v>259</v>
      </c>
      <c r="C18" s="120">
        <v>2000</v>
      </c>
    </row>
    <row r="19" spans="1:3" ht="15" customHeight="1" thickBot="1">
      <c r="A19" s="1"/>
      <c r="B19" s="226" t="s">
        <v>260</v>
      </c>
      <c r="C19" s="121">
        <v>1500</v>
      </c>
    </row>
    <row r="20" spans="1:3" ht="12.75">
      <c r="A20" s="1"/>
      <c r="B20" s="217" t="s">
        <v>297</v>
      </c>
      <c r="C20" s="120">
        <v>2000</v>
      </c>
    </row>
    <row r="21" spans="1:3" ht="15" customHeight="1">
      <c r="A21" s="1"/>
      <c r="B21" s="253" t="s">
        <v>298</v>
      </c>
      <c r="C21" s="254">
        <v>0</v>
      </c>
    </row>
    <row r="22" spans="1:13" s="4" customFormat="1" ht="24">
      <c r="A22" s="1"/>
      <c r="B22" s="256" t="s">
        <v>299</v>
      </c>
      <c r="C22" s="121">
        <v>1500</v>
      </c>
      <c r="D22" s="166"/>
      <c r="E22"/>
      <c r="F22"/>
      <c r="G22"/>
      <c r="H22"/>
      <c r="I22"/>
      <c r="J22"/>
      <c r="K22"/>
      <c r="L22"/>
      <c r="M22"/>
    </row>
    <row r="23" spans="1:13" s="4" customFormat="1" ht="12.75">
      <c r="A23" s="1"/>
      <c r="B23" s="230" t="s">
        <v>117</v>
      </c>
      <c r="C23" s="71"/>
      <c r="D23"/>
      <c r="E23"/>
      <c r="F23"/>
      <c r="G23"/>
      <c r="H23"/>
      <c r="I23"/>
      <c r="J23"/>
      <c r="K23"/>
      <c r="L23"/>
      <c r="M23"/>
    </row>
    <row r="24" spans="1:13" s="4" customFormat="1" ht="13.5" thickBot="1">
      <c r="A24" s="1"/>
      <c r="B24" s="231" t="s">
        <v>154</v>
      </c>
      <c r="C24" s="117">
        <v>20</v>
      </c>
      <c r="D24"/>
      <c r="E24"/>
      <c r="F24"/>
      <c r="G24"/>
      <c r="H24"/>
      <c r="I24"/>
      <c r="J24"/>
      <c r="K24"/>
      <c r="L24"/>
      <c r="M24"/>
    </row>
    <row r="25" spans="1:13" s="4" customFormat="1" ht="13.5" customHeight="1">
      <c r="A25" s="1"/>
      <c r="B25" s="68"/>
      <c r="C25"/>
      <c r="D25"/>
      <c r="E25"/>
      <c r="F25"/>
      <c r="G25"/>
      <c r="H25"/>
      <c r="I25"/>
      <c r="J25"/>
      <c r="K25"/>
      <c r="L25"/>
      <c r="M25"/>
    </row>
    <row r="26" spans="1:2" ht="13.5" customHeight="1" thickBot="1">
      <c r="A26" s="1"/>
      <c r="B26" s="68" t="s">
        <v>40</v>
      </c>
    </row>
    <row r="27" spans="1:15" ht="12.75">
      <c r="A27" s="67"/>
      <c r="B27" s="92"/>
      <c r="C27" s="246" t="s">
        <v>41</v>
      </c>
      <c r="D27" s="179" t="s">
        <v>42</v>
      </c>
      <c r="E27" s="179" t="s">
        <v>43</v>
      </c>
      <c r="F27" s="179" t="s">
        <v>44</v>
      </c>
      <c r="G27" s="243" t="s">
        <v>45</v>
      </c>
      <c r="L27" s="4"/>
      <c r="M27" s="4"/>
      <c r="O27" s="4"/>
    </row>
    <row r="28" spans="1:15" ht="12.75">
      <c r="A28" s="67"/>
      <c r="B28" s="182" t="s">
        <v>5</v>
      </c>
      <c r="C28" s="9" t="s">
        <v>23</v>
      </c>
      <c r="D28" s="9" t="s">
        <v>146</v>
      </c>
      <c r="E28" s="9" t="s">
        <v>149</v>
      </c>
      <c r="F28" s="9" t="s">
        <v>23</v>
      </c>
      <c r="G28" s="71" t="s">
        <v>23</v>
      </c>
      <c r="L28" s="4"/>
      <c r="M28" s="4"/>
      <c r="O28" s="4"/>
    </row>
    <row r="29" spans="1:15" ht="12.75">
      <c r="A29" s="67"/>
      <c r="B29" s="183" t="s">
        <v>37</v>
      </c>
      <c r="C29" s="9">
        <v>0.5</v>
      </c>
      <c r="D29" s="9">
        <v>0.5</v>
      </c>
      <c r="E29" s="9">
        <v>0.5</v>
      </c>
      <c r="F29" s="9">
        <v>0.5</v>
      </c>
      <c r="G29" s="71">
        <v>0.5</v>
      </c>
      <c r="L29" s="4"/>
      <c r="M29" s="4"/>
      <c r="O29" s="4"/>
    </row>
    <row r="30" spans="1:11" ht="12.75">
      <c r="A30" s="1"/>
      <c r="B30" s="76" t="s">
        <v>80</v>
      </c>
      <c r="C30" s="10">
        <f>VLOOKUP(C28,Configuration!$A$42:$D$59,2,FALSE)</f>
        <v>118.8</v>
      </c>
      <c r="D30" s="10">
        <f>VLOOKUP(D28,Configuration!$A$42:$D$59,2,FALSE)</f>
        <v>15</v>
      </c>
      <c r="E30" s="10">
        <f>VLOOKUP(E28,Configuration!$A$42:$D$59,2,FALSE)</f>
        <v>80</v>
      </c>
      <c r="F30" s="10">
        <f>VLOOKUP(F28,Configuration!$A$42:$D$59,2,FALSE)</f>
        <v>118.8</v>
      </c>
      <c r="G30" s="63">
        <f>VLOOKUP(G28,Configuration!$A$42:$D$59,2,FALSE)</f>
        <v>118.8</v>
      </c>
      <c r="H30" s="4"/>
      <c r="I30" s="4"/>
      <c r="J30" s="4"/>
      <c r="K30" s="4"/>
    </row>
    <row r="31" spans="1:15" ht="12.75">
      <c r="A31" s="1"/>
      <c r="B31" s="76" t="s">
        <v>82</v>
      </c>
      <c r="C31" s="10">
        <f>C30*3.6*C29</f>
        <v>213.84</v>
      </c>
      <c r="D31" s="10">
        <f>D30*3.6*D29</f>
        <v>27</v>
      </c>
      <c r="E31" s="10">
        <f>E30*3.6*E29</f>
        <v>144</v>
      </c>
      <c r="F31" s="10">
        <f>F30*3.6*F29</f>
        <v>213.84</v>
      </c>
      <c r="G31" s="63">
        <f>G30*3.6*G29</f>
        <v>213.84</v>
      </c>
      <c r="H31" s="4"/>
      <c r="I31" s="4"/>
      <c r="J31" s="4"/>
      <c r="K31" s="4"/>
      <c r="O31" s="81"/>
    </row>
    <row r="32" spans="1:15" ht="15" customHeight="1">
      <c r="A32" s="1"/>
      <c r="B32" s="76" t="s">
        <v>81</v>
      </c>
      <c r="C32" s="10">
        <f>Configuration!$B$7+Configuration!$C$7</f>
        <v>1.37</v>
      </c>
      <c r="D32" s="10">
        <f>Configuration!$B$7+Configuration!$C$7</f>
        <v>1.37</v>
      </c>
      <c r="E32" s="10">
        <f>Configuration!$B$7+Configuration!$C$7</f>
        <v>1.37</v>
      </c>
      <c r="F32" s="10">
        <f>Configuration!$B$7+Configuration!$C$7</f>
        <v>1.37</v>
      </c>
      <c r="G32" s="63">
        <f>Configuration!$B$7+Configuration!$C$7</f>
        <v>1.37</v>
      </c>
      <c r="H32" s="4"/>
      <c r="I32" s="4"/>
      <c r="J32" s="4"/>
      <c r="K32" s="4"/>
      <c r="O32" s="81"/>
    </row>
    <row r="33" spans="1:15" ht="15" customHeight="1" thickBot="1">
      <c r="A33" s="1"/>
      <c r="B33" s="90" t="s">
        <v>74</v>
      </c>
      <c r="C33" s="93">
        <f>C32*C31/1000/$C$24</f>
        <v>0.014648040000000001</v>
      </c>
      <c r="D33" s="93">
        <f>D32*D31/1000/$C$24</f>
        <v>0.0018495</v>
      </c>
      <c r="E33" s="93">
        <f>E32*E31/1000/$C$24</f>
        <v>0.009864000000000001</v>
      </c>
      <c r="F33" s="93">
        <f>F32*F31/1000/$C$24</f>
        <v>0.014648040000000001</v>
      </c>
      <c r="G33" s="91">
        <f>G32*G31/1000/$C$24</f>
        <v>0.014648040000000001</v>
      </c>
      <c r="O33" s="81"/>
    </row>
    <row r="34" spans="1:15" ht="15" customHeight="1">
      <c r="A34" s="1"/>
      <c r="B34" s="167" t="s">
        <v>207</v>
      </c>
      <c r="O34" s="81"/>
    </row>
    <row r="35" spans="1:15" ht="15" customHeight="1">
      <c r="A35" s="1"/>
      <c r="B35" s="168" t="s">
        <v>208</v>
      </c>
      <c r="O35" s="81"/>
    </row>
    <row r="36" spans="1:15" ht="15" customHeight="1">
      <c r="A36" s="1"/>
      <c r="B36" s="68"/>
      <c r="O36" s="81"/>
    </row>
    <row r="37" spans="1:15" ht="13.5" thickBot="1">
      <c r="A37" s="1"/>
      <c r="B37" s="3" t="s">
        <v>95</v>
      </c>
      <c r="O37" s="81"/>
    </row>
    <row r="38" spans="1:15" s="4" customFormat="1" ht="12.75">
      <c r="A38" s="1"/>
      <c r="B38" s="92"/>
      <c r="C38" s="179" t="s">
        <v>96</v>
      </c>
      <c r="D38" s="179" t="s">
        <v>97</v>
      </c>
      <c r="E38" s="179" t="s">
        <v>98</v>
      </c>
      <c r="F38" s="179" t="s">
        <v>99</v>
      </c>
      <c r="G38" s="243" t="s">
        <v>100</v>
      </c>
      <c r="H38"/>
      <c r="I38"/>
      <c r="J38"/>
      <c r="K38"/>
      <c r="L38"/>
      <c r="M38"/>
      <c r="O38"/>
    </row>
    <row r="39" spans="1:15" s="4" customFormat="1" ht="12.75">
      <c r="A39" s="1"/>
      <c r="B39" s="183" t="s">
        <v>54</v>
      </c>
      <c r="C39" s="94" t="s">
        <v>71</v>
      </c>
      <c r="D39" s="94" t="s">
        <v>71</v>
      </c>
      <c r="E39" s="94" t="s">
        <v>71</v>
      </c>
      <c r="F39" s="94" t="s">
        <v>71</v>
      </c>
      <c r="G39" s="98" t="s">
        <v>71</v>
      </c>
      <c r="H39"/>
      <c r="I39"/>
      <c r="J39"/>
      <c r="K39"/>
      <c r="L39"/>
      <c r="M39"/>
      <c r="O39"/>
    </row>
    <row r="40" spans="1:15" s="4" customFormat="1" ht="12.75">
      <c r="A40" s="1"/>
      <c r="B40" s="183" t="s">
        <v>6</v>
      </c>
      <c r="C40" s="94">
        <v>2.5</v>
      </c>
      <c r="D40" s="94">
        <v>2.5</v>
      </c>
      <c r="E40" s="94">
        <v>2.5</v>
      </c>
      <c r="F40" s="94">
        <v>2.5</v>
      </c>
      <c r="G40" s="98">
        <v>2.5</v>
      </c>
      <c r="H40"/>
      <c r="I40"/>
      <c r="J40"/>
      <c r="K40"/>
      <c r="L40"/>
      <c r="M40"/>
      <c r="O40"/>
    </row>
    <row r="41" spans="1:7" ht="12.75">
      <c r="A41" s="1"/>
      <c r="B41" s="183" t="s">
        <v>83</v>
      </c>
      <c r="C41" s="94">
        <v>10000</v>
      </c>
      <c r="D41" s="94">
        <v>10000</v>
      </c>
      <c r="E41" s="94">
        <v>10000</v>
      </c>
      <c r="F41" s="94">
        <v>10000</v>
      </c>
      <c r="G41" s="98">
        <v>10000</v>
      </c>
    </row>
    <row r="42" spans="1:13" ht="12.75">
      <c r="A42" s="67"/>
      <c r="B42" s="76" t="s">
        <v>72</v>
      </c>
      <c r="C42" s="95">
        <f>C41*C40</f>
        <v>25000</v>
      </c>
      <c r="D42" s="95">
        <f>D41*D40</f>
        <v>25000</v>
      </c>
      <c r="E42" s="95">
        <f>E41*E40</f>
        <v>25000</v>
      </c>
      <c r="F42" s="95">
        <f>F41*F40</f>
        <v>25000</v>
      </c>
      <c r="G42" s="77">
        <f>G41*G40</f>
        <v>25000</v>
      </c>
      <c r="L42" s="4"/>
      <c r="M42" s="4"/>
    </row>
    <row r="43" spans="1:13" ht="12.75">
      <c r="A43" s="67"/>
      <c r="B43" s="183" t="s">
        <v>73</v>
      </c>
      <c r="C43" s="96">
        <v>0.2</v>
      </c>
      <c r="D43" s="96">
        <v>0.2</v>
      </c>
      <c r="E43" s="96">
        <v>0.2</v>
      </c>
      <c r="F43" s="96">
        <v>1</v>
      </c>
      <c r="G43" s="73">
        <v>0.5</v>
      </c>
      <c r="L43" s="4"/>
      <c r="M43" s="4"/>
    </row>
    <row r="44" spans="1:13" ht="12.75">
      <c r="A44" s="67"/>
      <c r="B44" s="76" t="s">
        <v>15</v>
      </c>
      <c r="C44" s="97">
        <f>VLOOKUP(C39,Configuration!$A$5:$C$12,2,FALSE)</f>
        <v>1.23</v>
      </c>
      <c r="D44" s="97">
        <f>VLOOKUP(D39,Configuration!$A$5:$C$12,2,FALSE)</f>
        <v>1.23</v>
      </c>
      <c r="E44" s="97">
        <f>VLOOKUP(E39,Configuration!$A$5:$C$12,2,FALSE)</f>
        <v>1.23</v>
      </c>
      <c r="F44" s="97">
        <f>VLOOKUP(F39,Configuration!$A$5:$C$12,2,FALSE)</f>
        <v>1.23</v>
      </c>
      <c r="G44" s="74">
        <f>VLOOKUP(G39,Configuration!$A$5:$C$12,2,FALSE)</f>
        <v>1.23</v>
      </c>
      <c r="L44" s="4"/>
      <c r="M44" s="4"/>
    </row>
    <row r="45" spans="1:11" ht="12.75">
      <c r="A45" s="1"/>
      <c r="B45" s="76" t="s">
        <v>16</v>
      </c>
      <c r="C45" s="97">
        <f>VLOOKUP(C39,Configuration!$A$5:$C$12,3,FALSE)</f>
        <v>0.14</v>
      </c>
      <c r="D45" s="97">
        <f>VLOOKUP(D39,Configuration!$A$5:$C$12,3,FALSE)</f>
        <v>0.14</v>
      </c>
      <c r="E45" s="97">
        <f>VLOOKUP(E39,Configuration!$A$5:$C$12,3,FALSE)</f>
        <v>0.14</v>
      </c>
      <c r="F45" s="97">
        <f>VLOOKUP(F39,Configuration!$A$5:$C$12,3,FALSE)</f>
        <v>0.14</v>
      </c>
      <c r="G45" s="74">
        <f>VLOOKUP(G39,Configuration!$A$5:$C$12,3,FALSE)</f>
        <v>0.14</v>
      </c>
      <c r="H45" s="4"/>
      <c r="I45" s="4"/>
      <c r="J45" s="4"/>
      <c r="K45" s="4"/>
    </row>
    <row r="46" spans="1:11" ht="12.75">
      <c r="A46" s="1"/>
      <c r="B46" s="104" t="s">
        <v>105</v>
      </c>
      <c r="C46" s="105">
        <f aca="true" t="shared" si="0" ref="C46:G47">C44*(1-C$43)*C$42/1000</f>
        <v>24.6</v>
      </c>
      <c r="D46" s="109">
        <f t="shared" si="0"/>
        <v>24.6</v>
      </c>
      <c r="E46" s="109">
        <f t="shared" si="0"/>
        <v>24.6</v>
      </c>
      <c r="F46" s="109">
        <f t="shared" si="0"/>
        <v>0</v>
      </c>
      <c r="G46" s="110">
        <f t="shared" si="0"/>
        <v>15.375</v>
      </c>
      <c r="H46" s="4"/>
      <c r="I46" s="4"/>
      <c r="J46" s="4"/>
      <c r="K46" s="4"/>
    </row>
    <row r="47" spans="1:11" ht="12.75">
      <c r="A47" s="1"/>
      <c r="B47" s="104" t="s">
        <v>103</v>
      </c>
      <c r="C47" s="105">
        <f t="shared" si="0"/>
        <v>2.8000000000000003</v>
      </c>
      <c r="D47" s="109">
        <f t="shared" si="0"/>
        <v>2.8000000000000003</v>
      </c>
      <c r="E47" s="109">
        <f t="shared" si="0"/>
        <v>2.8000000000000003</v>
      </c>
      <c r="F47" s="109">
        <f t="shared" si="0"/>
        <v>0</v>
      </c>
      <c r="G47" s="110">
        <f t="shared" si="0"/>
        <v>1.7500000000000002</v>
      </c>
      <c r="H47" s="4"/>
      <c r="I47" s="4"/>
      <c r="J47" s="4"/>
      <c r="K47" s="4"/>
    </row>
    <row r="48" spans="1:7" ht="13.5" thickBot="1">
      <c r="A48" s="1"/>
      <c r="B48" s="72" t="s">
        <v>3</v>
      </c>
      <c r="C48" s="99">
        <f>SUM(C45,C44)*(1-C43)*C42/1000</f>
        <v>27.400000000000002</v>
      </c>
      <c r="D48" s="99">
        <f>SUM(D45,D44)*(1-D43)*D42/1000</f>
        <v>27.400000000000002</v>
      </c>
      <c r="E48" s="99">
        <f>SUM(E45,E44)*(1-E43)*E42/1000</f>
        <v>27.400000000000002</v>
      </c>
      <c r="F48" s="99">
        <f>SUM(F45,F44)*(1-F43)*F42/1000</f>
        <v>0</v>
      </c>
      <c r="G48" s="75">
        <f>SUM(G45,G44)*(1-G43)*G42/1000</f>
        <v>17.125</v>
      </c>
    </row>
    <row r="49" spans="1:5" ht="12.75">
      <c r="A49" s="1"/>
      <c r="B49" s="66"/>
      <c r="C49" s="66"/>
      <c r="D49" s="66"/>
      <c r="E49" s="66"/>
    </row>
    <row r="50" ht="13.5" thickBot="1">
      <c r="B50" s="3" t="s">
        <v>84</v>
      </c>
    </row>
    <row r="51" spans="2:7" ht="12.75">
      <c r="B51" s="92"/>
      <c r="C51" s="179" t="s">
        <v>85</v>
      </c>
      <c r="D51" s="179" t="s">
        <v>86</v>
      </c>
      <c r="E51" s="179" t="s">
        <v>87</v>
      </c>
      <c r="F51" s="179" t="s">
        <v>88</v>
      </c>
      <c r="G51" s="243" t="s">
        <v>89</v>
      </c>
    </row>
    <row r="52" spans="2:7" ht="12.75">
      <c r="B52" s="183" t="s">
        <v>54</v>
      </c>
      <c r="C52" s="94" t="s">
        <v>71</v>
      </c>
      <c r="D52" s="94" t="s">
        <v>71</v>
      </c>
      <c r="E52" s="94" t="s">
        <v>71</v>
      </c>
      <c r="F52" s="94" t="s">
        <v>71</v>
      </c>
      <c r="G52" s="98" t="s">
        <v>71</v>
      </c>
    </row>
    <row r="53" spans="2:7" ht="12.75">
      <c r="B53" s="183" t="s">
        <v>6</v>
      </c>
      <c r="C53" s="94">
        <v>2.5</v>
      </c>
      <c r="D53" s="94">
        <v>2.5</v>
      </c>
      <c r="E53" s="94">
        <v>2.5</v>
      </c>
      <c r="F53" s="94">
        <v>2.5</v>
      </c>
      <c r="G53" s="98">
        <v>2.5</v>
      </c>
    </row>
    <row r="54" spans="2:7" ht="12.75">
      <c r="B54" s="183" t="s">
        <v>83</v>
      </c>
      <c r="C54" s="94">
        <v>10000</v>
      </c>
      <c r="D54" s="94">
        <v>10000</v>
      </c>
      <c r="E54" s="94">
        <v>10000</v>
      </c>
      <c r="F54" s="94">
        <v>10000</v>
      </c>
      <c r="G54" s="98">
        <v>10000</v>
      </c>
    </row>
    <row r="55" spans="2:7" ht="12.75">
      <c r="B55" s="76" t="s">
        <v>72</v>
      </c>
      <c r="C55" s="95">
        <f>C54*C53</f>
        <v>25000</v>
      </c>
      <c r="D55" s="95">
        <f>D54*D53</f>
        <v>25000</v>
      </c>
      <c r="E55" s="95">
        <f>E54*E53</f>
        <v>25000</v>
      </c>
      <c r="F55" s="95">
        <f>F54*F53</f>
        <v>25000</v>
      </c>
      <c r="G55" s="77">
        <f>G54*G53</f>
        <v>25000</v>
      </c>
    </row>
    <row r="56" spans="2:7" ht="12.75">
      <c r="B56" s="183" t="s">
        <v>73</v>
      </c>
      <c r="C56" s="96">
        <v>0.2</v>
      </c>
      <c r="D56" s="96">
        <v>0.5</v>
      </c>
      <c r="E56" s="96">
        <v>0.15</v>
      </c>
      <c r="F56" s="96">
        <v>0.2</v>
      </c>
      <c r="G56" s="73">
        <v>0.2</v>
      </c>
    </row>
    <row r="57" spans="2:7" ht="12.75">
      <c r="B57" s="76" t="s">
        <v>15</v>
      </c>
      <c r="C57" s="97">
        <f>VLOOKUP(C52,Configuration!$A$5:$C$12,2,FALSE)</f>
        <v>1.23</v>
      </c>
      <c r="D57" s="97">
        <f>VLOOKUP(D52,Configuration!$A$5:$C$12,2,FALSE)</f>
        <v>1.23</v>
      </c>
      <c r="E57" s="97">
        <f>VLOOKUP(E52,Configuration!$A$5:$C$12,2,FALSE)</f>
        <v>1.23</v>
      </c>
      <c r="F57" s="97">
        <f>VLOOKUP(F52,Configuration!$A$5:$C$12,2,FALSE)</f>
        <v>1.23</v>
      </c>
      <c r="G57" s="74">
        <f>VLOOKUP(G52,Configuration!$A$5:$C$12,2,FALSE)</f>
        <v>1.23</v>
      </c>
    </row>
    <row r="58" spans="2:7" ht="12.75">
      <c r="B58" s="76" t="s">
        <v>16</v>
      </c>
      <c r="C58" s="97">
        <f>VLOOKUP(C52,Configuration!$A$5:$C$12,3,FALSE)</f>
        <v>0.14</v>
      </c>
      <c r="D58" s="97">
        <f>VLOOKUP(D52,Configuration!$A$5:$C$12,3,FALSE)</f>
        <v>0.14</v>
      </c>
      <c r="E58" s="97">
        <f>VLOOKUP(E52,Configuration!$A$5:$C$12,3,FALSE)</f>
        <v>0.14</v>
      </c>
      <c r="F58" s="97">
        <f>VLOOKUP(F52,Configuration!$A$5:$C$12,3,FALSE)</f>
        <v>0.14</v>
      </c>
      <c r="G58" s="74">
        <f>VLOOKUP(G52,Configuration!$A$5:$C$12,3,FALSE)</f>
        <v>0.14</v>
      </c>
    </row>
    <row r="59" spans="2:7" ht="12.75">
      <c r="B59" s="104" t="s">
        <v>105</v>
      </c>
      <c r="C59" s="105">
        <f aca="true" t="shared" si="1" ref="C59:G60">C57*(1-C$56)*C$55/1000</f>
        <v>24.6</v>
      </c>
      <c r="D59" s="109">
        <f t="shared" si="1"/>
        <v>15.375</v>
      </c>
      <c r="E59" s="109">
        <f t="shared" si="1"/>
        <v>26.137499999999996</v>
      </c>
      <c r="F59" s="109">
        <f t="shared" si="1"/>
        <v>24.6</v>
      </c>
      <c r="G59" s="110">
        <f t="shared" si="1"/>
        <v>24.6</v>
      </c>
    </row>
    <row r="60" spans="2:7" ht="12.75">
      <c r="B60" s="104" t="s">
        <v>103</v>
      </c>
      <c r="C60" s="105">
        <f t="shared" si="1"/>
        <v>2.8000000000000003</v>
      </c>
      <c r="D60" s="109">
        <f t="shared" si="1"/>
        <v>1.7500000000000002</v>
      </c>
      <c r="E60" s="109">
        <f t="shared" si="1"/>
        <v>2.975</v>
      </c>
      <c r="F60" s="109">
        <f t="shared" si="1"/>
        <v>2.8000000000000003</v>
      </c>
      <c r="G60" s="110">
        <f t="shared" si="1"/>
        <v>2.8000000000000003</v>
      </c>
    </row>
    <row r="61" spans="2:7" ht="13.5" thickBot="1">
      <c r="B61" s="72" t="s">
        <v>3</v>
      </c>
      <c r="C61" s="99">
        <f>SUM(C58,C57)*(1-C56)*C55/1000</f>
        <v>27.400000000000002</v>
      </c>
      <c r="D61" s="99">
        <f>SUM(D58,D57)*(1-D56)*D55/1000</f>
        <v>17.125</v>
      </c>
      <c r="E61" s="99">
        <f>SUM(E58,E57)*(1-E56)*E55/1000</f>
        <v>29.112500000000004</v>
      </c>
      <c r="F61" s="99">
        <f>SUM(F58,F57)*(1-F56)*F55/1000</f>
        <v>27.400000000000002</v>
      </c>
      <c r="G61" s="75">
        <f>SUM(G58,G57)*(1-G56)*G55/1000</f>
        <v>27.400000000000002</v>
      </c>
    </row>
    <row r="62" ht="12.75">
      <c r="F62" s="18"/>
    </row>
    <row r="63" ht="13.5" thickBot="1">
      <c r="B63" s="3" t="s">
        <v>167</v>
      </c>
    </row>
    <row r="64" spans="2:7" ht="12.75">
      <c r="B64" s="92"/>
      <c r="C64" s="179" t="s">
        <v>96</v>
      </c>
      <c r="D64" s="179" t="s">
        <v>97</v>
      </c>
      <c r="E64" s="179" t="s">
        <v>98</v>
      </c>
      <c r="F64" s="179" t="s">
        <v>99</v>
      </c>
      <c r="G64" s="243" t="s">
        <v>100</v>
      </c>
    </row>
    <row r="65" spans="2:7" ht="12.75">
      <c r="B65" s="183" t="s">
        <v>54</v>
      </c>
      <c r="C65" s="94" t="s">
        <v>71</v>
      </c>
      <c r="D65" s="94" t="s">
        <v>71</v>
      </c>
      <c r="E65" s="94" t="s">
        <v>71</v>
      </c>
      <c r="F65" s="94" t="s">
        <v>71</v>
      </c>
      <c r="G65" s="98" t="s">
        <v>71</v>
      </c>
    </row>
    <row r="66" spans="2:7" ht="12.75">
      <c r="B66" s="183" t="s">
        <v>168</v>
      </c>
      <c r="C66" s="94">
        <v>30</v>
      </c>
      <c r="D66" s="94">
        <v>2.5</v>
      </c>
      <c r="E66" s="94">
        <v>2.5</v>
      </c>
      <c r="F66" s="94">
        <v>2.5</v>
      </c>
      <c r="G66" s="98">
        <v>2.5</v>
      </c>
    </row>
    <row r="67" spans="2:7" ht="12.75">
      <c r="B67" s="183" t="s">
        <v>83</v>
      </c>
      <c r="C67" s="94">
        <v>10000</v>
      </c>
      <c r="D67" s="94">
        <v>10000</v>
      </c>
      <c r="E67" s="94">
        <v>10000</v>
      </c>
      <c r="F67" s="94">
        <v>10000</v>
      </c>
      <c r="G67" s="98">
        <v>10000</v>
      </c>
    </row>
    <row r="68" spans="2:7" ht="12.75">
      <c r="B68" s="76" t="s">
        <v>169</v>
      </c>
      <c r="C68" s="95">
        <f>C67*C66</f>
        <v>300000</v>
      </c>
      <c r="D68" s="95">
        <f>D67*D66</f>
        <v>25000</v>
      </c>
      <c r="E68" s="95">
        <f>E67*E66</f>
        <v>25000</v>
      </c>
      <c r="F68" s="95">
        <f>F67*F66</f>
        <v>25000</v>
      </c>
      <c r="G68" s="77">
        <f>G67*G66</f>
        <v>25000</v>
      </c>
    </row>
    <row r="69" spans="2:7" ht="12.75">
      <c r="B69" s="76" t="s">
        <v>170</v>
      </c>
      <c r="C69" s="97">
        <f>VLOOKUP(C65,Configuration!$A$16:$C$24,2,FALSE)</f>
        <v>51.3</v>
      </c>
      <c r="D69" s="97">
        <f>VLOOKUP(D65,Configuration!$A$5:$C$12,2,FALSE)</f>
        <v>1.23</v>
      </c>
      <c r="E69" s="97">
        <f>VLOOKUP(E65,Configuration!$A$5:$C$12,2,FALSE)</f>
        <v>1.23</v>
      </c>
      <c r="F69" s="97">
        <f>VLOOKUP(F65,Configuration!$A$5:$C$12,2,FALSE)</f>
        <v>1.23</v>
      </c>
      <c r="G69" s="74">
        <f>VLOOKUP(G65,Configuration!$A$5:$C$12,2,FALSE)</f>
        <v>1.23</v>
      </c>
    </row>
    <row r="70" spans="2:7" ht="12.75">
      <c r="B70" s="76" t="s">
        <v>171</v>
      </c>
      <c r="C70" s="97">
        <f>VLOOKUP(C65,Configuration!$A$16:$C$24,3,FALSE)</f>
        <v>5.9</v>
      </c>
      <c r="D70" s="97">
        <f>VLOOKUP(D65,Configuration!$A$5:$C$12,3,FALSE)</f>
        <v>0.14</v>
      </c>
      <c r="E70" s="97">
        <f>VLOOKUP(E65,Configuration!$A$5:$C$12,3,FALSE)</f>
        <v>0.14</v>
      </c>
      <c r="F70" s="97">
        <f>VLOOKUP(F65,Configuration!$A$5:$C$12,3,FALSE)</f>
        <v>0.14</v>
      </c>
      <c r="G70" s="74">
        <f>VLOOKUP(G65,Configuration!$A$5:$C$12,3,FALSE)</f>
        <v>0.14</v>
      </c>
    </row>
    <row r="71" spans="2:7" ht="12.75">
      <c r="B71" s="104" t="s">
        <v>102</v>
      </c>
      <c r="C71" s="105">
        <f aca="true" t="shared" si="2" ref="C71:G72">C69*(C$68/1000)/1000</f>
        <v>15.39</v>
      </c>
      <c r="D71" s="109">
        <f t="shared" si="2"/>
        <v>0.03075</v>
      </c>
      <c r="E71" s="109">
        <f t="shared" si="2"/>
        <v>0.03075</v>
      </c>
      <c r="F71" s="109">
        <f t="shared" si="2"/>
        <v>0.03075</v>
      </c>
      <c r="G71" s="110">
        <f t="shared" si="2"/>
        <v>0.03075</v>
      </c>
    </row>
    <row r="72" spans="2:7" ht="12.75">
      <c r="B72" s="104" t="s">
        <v>103</v>
      </c>
      <c r="C72" s="105">
        <f t="shared" si="2"/>
        <v>1.77</v>
      </c>
      <c r="D72" s="109">
        <f t="shared" si="2"/>
        <v>0.0035000000000000005</v>
      </c>
      <c r="E72" s="109">
        <f t="shared" si="2"/>
        <v>0.0035000000000000005</v>
      </c>
      <c r="F72" s="109">
        <f t="shared" si="2"/>
        <v>0.0035000000000000005</v>
      </c>
      <c r="G72" s="110">
        <f t="shared" si="2"/>
        <v>0.0035000000000000005</v>
      </c>
    </row>
    <row r="73" spans="2:7" ht="13.5" thickBot="1">
      <c r="B73" s="72" t="s">
        <v>3</v>
      </c>
      <c r="C73" s="99">
        <f>SUM(C72,C71)</f>
        <v>17.16</v>
      </c>
      <c r="D73" s="99">
        <f>SUM(D72,D71)</f>
        <v>0.03425</v>
      </c>
      <c r="E73" s="99">
        <f>SUM(E72,E71)</f>
        <v>0.03425</v>
      </c>
      <c r="F73" s="99">
        <f>SUM(F72,F71)</f>
        <v>0.03425</v>
      </c>
      <c r="G73" s="75">
        <f>SUM(G72,G71)</f>
        <v>0.03425</v>
      </c>
    </row>
    <row r="75" ht="13.5" thickBot="1">
      <c r="B75" s="3" t="s">
        <v>125</v>
      </c>
    </row>
    <row r="76" spans="2:7" ht="12.75">
      <c r="B76" s="92"/>
      <c r="C76" s="179" t="s">
        <v>96</v>
      </c>
      <c r="D76" s="179" t="s">
        <v>97</v>
      </c>
      <c r="E76" s="179" t="s">
        <v>98</v>
      </c>
      <c r="F76" s="179" t="s">
        <v>99</v>
      </c>
      <c r="G76" s="243" t="s">
        <v>100</v>
      </c>
    </row>
    <row r="77" spans="2:7" s="4" customFormat="1" ht="25.5">
      <c r="B77" s="183" t="s">
        <v>126</v>
      </c>
      <c r="C77" s="132" t="s">
        <v>131</v>
      </c>
      <c r="D77" s="132" t="s">
        <v>131</v>
      </c>
      <c r="E77" s="132" t="s">
        <v>131</v>
      </c>
      <c r="F77" s="132" t="s">
        <v>131</v>
      </c>
      <c r="G77" s="133" t="s">
        <v>131</v>
      </c>
    </row>
    <row r="78" spans="2:7" ht="12.75">
      <c r="B78" s="182" t="s">
        <v>142</v>
      </c>
      <c r="C78" s="134">
        <v>20</v>
      </c>
      <c r="D78" s="134">
        <v>20</v>
      </c>
      <c r="E78" s="134">
        <v>20</v>
      </c>
      <c r="F78" s="134">
        <v>20</v>
      </c>
      <c r="G78" s="135">
        <v>20</v>
      </c>
    </row>
    <row r="79" spans="2:7" ht="12.75">
      <c r="B79" s="182" t="s">
        <v>143</v>
      </c>
      <c r="C79" s="134">
        <v>0</v>
      </c>
      <c r="D79" s="134">
        <v>0</v>
      </c>
      <c r="E79" s="134">
        <v>0</v>
      </c>
      <c r="F79" s="134">
        <v>0</v>
      </c>
      <c r="G79" s="135">
        <v>0</v>
      </c>
    </row>
    <row r="80" spans="2:7" ht="13.5" thickBot="1">
      <c r="B80" s="72" t="s">
        <v>3</v>
      </c>
      <c r="C80" s="136">
        <f>(C78*Configuration!$B$69*(1-Configuration!$B$70)*VLOOKUP(Wastewater!C77,Configuration!$A$63:$B$67,2,FALSE)*Configuration!$B$71*21)+((Wastewater!C78*Configuration!$B$69*Configuration!$B$70*Configuration!$B$73*Configuration!$B$72-Wastewater!C$79)*21)</f>
        <v>3222.3555</v>
      </c>
      <c r="D80" s="136">
        <f>(D78*Configuration!$B$69*(1-Configuration!$B$70)*VLOOKUP(Wastewater!D77,Configuration!$A$63:$B$67,2,FALSE)*Configuration!$B$71*21)+((Wastewater!D78*Configuration!$B$69*Configuration!$B$70*Configuration!$B$73*Configuration!$B$72-Wastewater!D$79)*21)</f>
        <v>3222.3555</v>
      </c>
      <c r="E80" s="136">
        <f>(E78*Configuration!$B$69*(1-Configuration!$B$70)*VLOOKUP(Wastewater!E77,Configuration!$A$63:$B$67,2,FALSE)*Configuration!$B$71*21)+((Wastewater!E78*Configuration!$B$69*Configuration!$B$70*Configuration!$B$73*Configuration!$B$72-Wastewater!E$79)*21)</f>
        <v>3222.3555</v>
      </c>
      <c r="F80" s="136">
        <f>(F78*Configuration!$B$69*(1-Configuration!$B$70)*VLOOKUP(Wastewater!F77,Configuration!$A$63:$B$67,2,FALSE)*Configuration!$B$71*21)+((Wastewater!F78*Configuration!$B$69*Configuration!$B$70*Configuration!$B$73*Configuration!$B$72-Wastewater!F$79)*21)</f>
        <v>3222.3555</v>
      </c>
      <c r="G80" s="114">
        <f>(G78*Configuration!$B$69*(1-Configuration!$B$70)*VLOOKUP(Wastewater!G77,Configuration!$A$63:$B$67,2,FALSE)*Configuration!$B$71*21)+((Wastewater!G78*Configuration!$B$69*Configuration!$B$70*Configuration!$B$73*Configuration!$B$72-Wastewater!G$79)*21)</f>
        <v>3222.3555</v>
      </c>
    </row>
    <row r="134" ht="12.75">
      <c r="B134" t="s">
        <v>17</v>
      </c>
    </row>
    <row r="135" ht="12.75">
      <c r="B135"/>
    </row>
    <row r="136" ht="12.75">
      <c r="B136" s="81" t="str">
        <f>Configuration!A5</f>
        <v>NSW</v>
      </c>
    </row>
    <row r="137" ht="12.75">
      <c r="B137" s="81" t="str">
        <f>Configuration!A6</f>
        <v>ACT</v>
      </c>
    </row>
    <row r="138" ht="12.75">
      <c r="B138" s="81" t="str">
        <f>Configuration!A7</f>
        <v>VIC</v>
      </c>
    </row>
    <row r="139" ht="12.75">
      <c r="B139" s="81" t="str">
        <f>Configuration!A8</f>
        <v>QLD</v>
      </c>
    </row>
    <row r="140" ht="12.75">
      <c r="B140" s="81" t="str">
        <f>Configuration!A9</f>
        <v>SA</v>
      </c>
    </row>
    <row r="141" ht="12.75">
      <c r="B141" s="81" t="str">
        <f>Configuration!A10</f>
        <v>WA</v>
      </c>
    </row>
    <row r="142" ht="12.75">
      <c r="B142" s="81" t="str">
        <f>Configuration!A11</f>
        <v>TAS</v>
      </c>
    </row>
    <row r="143" ht="12.75">
      <c r="B143" s="81" t="str">
        <f>Configuration!A12</f>
        <v>NT</v>
      </c>
    </row>
    <row r="144" ht="12.75">
      <c r="B144" s="131" t="str">
        <f>Configuration!A63</f>
        <v>Managed aerobic</v>
      </c>
    </row>
    <row r="145" ht="12.75">
      <c r="B145" s="131" t="str">
        <f>Configuration!A64</f>
        <v>Unmanaged aerobic</v>
      </c>
    </row>
    <row r="146" ht="12.75">
      <c r="B146" s="131" t="str">
        <f>Configuration!A65</f>
        <v>Anaerobic digestor/reactor</v>
      </c>
    </row>
    <row r="147" ht="12.75">
      <c r="B147" s="131" t="str">
        <f>Configuration!A66</f>
        <v>Shallow anaerobic lagoon (&lt;2m)</v>
      </c>
    </row>
    <row r="148" ht="12.75">
      <c r="B148" s="131" t="str">
        <f>Configuration!A67</f>
        <v>Deep anaerobic lagoon (&gt;2m)</v>
      </c>
    </row>
    <row r="149" ht="12.75">
      <c r="B149" s="81" t="str">
        <f>Configuration!A43</f>
        <v>Hardboard</v>
      </c>
    </row>
    <row r="150" ht="12.75">
      <c r="B150" s="81" t="str">
        <f>Configuration!A44</f>
        <v>Concrete</v>
      </c>
    </row>
    <row r="151" ht="12.75">
      <c r="B151" s="81" t="str">
        <f>Configuration!A45</f>
        <v>Cement</v>
      </c>
    </row>
    <row r="152" ht="12.75">
      <c r="B152" s="81" t="str">
        <f>Configuration!A46</f>
        <v>PVC</v>
      </c>
    </row>
    <row r="153" ht="12.75">
      <c r="B153" s="81" t="str">
        <f>Configuration!A47</f>
        <v>Glass</v>
      </c>
    </row>
    <row r="154" ht="12.75">
      <c r="B154" s="81" t="str">
        <f>Configuration!A48</f>
        <v>Aluminium</v>
      </c>
    </row>
    <row r="155" ht="12.75">
      <c r="B155" s="81" t="str">
        <f>Configuration!A49</f>
        <v>Gravel</v>
      </c>
    </row>
    <row r="156" ht="12.75">
      <c r="B156" s="81" t="str">
        <f>Configuration!A50</f>
        <v>Copper</v>
      </c>
    </row>
    <row r="157" ht="12.75">
      <c r="B157" s="81" t="str">
        <f>Configuration!A51</f>
        <v>Galvanised Steel</v>
      </c>
    </row>
    <row r="158" ht="12.75">
      <c r="B158" s="81" t="str">
        <f>Configuration!A52</f>
        <v>Particleboard</v>
      </c>
    </row>
    <row r="159" ht="12.75">
      <c r="B159" s="81" t="str">
        <f>Configuration!A53</f>
        <v>Plywood</v>
      </c>
    </row>
    <row r="160" ht="12.75">
      <c r="B160" s="81" t="str">
        <f>Configuration!A54</f>
        <v>Plastics</v>
      </c>
    </row>
    <row r="161" ht="12.75">
      <c r="B161" s="81" t="str">
        <f>Configuration!A55</f>
        <v>Synthetic rubber</v>
      </c>
    </row>
    <row r="162" ht="12.75">
      <c r="B162" s="81" t="str">
        <f>Configuration!A56</f>
        <v>Acrylic paint</v>
      </c>
    </row>
    <row r="163" ht="12.75">
      <c r="B163" s="81" t="str">
        <f>Configuration!A57</f>
        <v>Plasterboard</v>
      </c>
    </row>
    <row r="164" ht="12.75">
      <c r="B164" s="81" t="str">
        <f>Configuration!A58</f>
        <v>Clay bricks</v>
      </c>
    </row>
    <row r="165" ht="12.75">
      <c r="B165" s="81" t="str">
        <f>Configuration!A59</f>
        <v>stabilised earth</v>
      </c>
    </row>
    <row r="166" ht="12.75">
      <c r="B166" s="81">
        <f>Configuration!A60</f>
        <v>0</v>
      </c>
    </row>
  </sheetData>
  <sheetProtection/>
  <mergeCells count="4">
    <mergeCell ref="B11:B13"/>
    <mergeCell ref="B14:C14"/>
    <mergeCell ref="B15:C15"/>
    <mergeCell ref="B8:B10"/>
  </mergeCells>
  <dataValidations count="3">
    <dataValidation type="list" allowBlank="1" showInputMessage="1" showErrorMessage="1" sqref="C77:G77">
      <formula1>$B$144:$B$148</formula1>
    </dataValidation>
    <dataValidation type="list" allowBlank="1" showInputMessage="1" showErrorMessage="1" sqref="C28:G28">
      <formula1>$B$149:$B$165</formula1>
    </dataValidation>
    <dataValidation type="list" allowBlank="1" showInputMessage="1" showErrorMessage="1" sqref="C39:G39 C52:G52 C65:G65">
      <formula1>$B$136:$B$143</formula1>
    </dataValidation>
  </dataValidation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85"/>
  <sheetViews>
    <sheetView showGridLines="0" tabSelected="1" zoomScalePageLayoutView="0" workbookViewId="0" topLeftCell="A1">
      <selection activeCell="D5" sqref="D5"/>
    </sheetView>
  </sheetViews>
  <sheetFormatPr defaultColWidth="9.140625" defaultRowHeight="12.75"/>
  <cols>
    <col min="1" max="1" width="38.8515625" style="0" customWidth="1"/>
    <col min="2" max="2" width="26.421875" style="0" customWidth="1"/>
    <col min="3" max="3" width="27.7109375" style="0" customWidth="1"/>
    <col min="4" max="4" width="35.00390625" style="0" customWidth="1"/>
    <col min="5" max="5" width="16.140625" style="0" customWidth="1"/>
  </cols>
  <sheetData>
    <row r="1" spans="1:5" ht="15.75" thickBot="1">
      <c r="A1" s="171" t="s">
        <v>218</v>
      </c>
      <c r="B1" s="103"/>
      <c r="C1" s="115"/>
      <c r="D1" s="49"/>
      <c r="E1" s="48"/>
    </row>
    <row r="3" ht="13.5" thickBot="1">
      <c r="A3" s="1" t="s">
        <v>53</v>
      </c>
    </row>
    <row r="4" spans="1:3" ht="31.5" customHeight="1">
      <c r="A4" s="45" t="s">
        <v>54</v>
      </c>
      <c r="B4" s="12" t="s">
        <v>9</v>
      </c>
      <c r="C4" s="13" t="s">
        <v>10</v>
      </c>
    </row>
    <row r="5" spans="1:3" ht="12.75">
      <c r="A5" s="7" t="s">
        <v>59</v>
      </c>
      <c r="B5" s="259">
        <v>0.9</v>
      </c>
      <c r="C5" s="257">
        <v>0.17</v>
      </c>
    </row>
    <row r="6" spans="1:3" ht="12.75">
      <c r="A6" s="7" t="s">
        <v>58</v>
      </c>
      <c r="B6" s="259">
        <v>0.9</v>
      </c>
      <c r="C6" s="257">
        <v>0.17</v>
      </c>
    </row>
    <row r="7" spans="1:3" ht="12.75">
      <c r="A7" s="7" t="s">
        <v>60</v>
      </c>
      <c r="B7" s="258">
        <v>1.23</v>
      </c>
      <c r="C7" s="257">
        <v>0.14</v>
      </c>
    </row>
    <row r="8" spans="1:3" ht="12.75">
      <c r="A8" s="7" t="s">
        <v>61</v>
      </c>
      <c r="B8" s="258">
        <v>0.89</v>
      </c>
      <c r="C8" s="257">
        <v>0.13</v>
      </c>
    </row>
    <row r="9" spans="1:3" ht="12.75">
      <c r="A9" s="7" t="s">
        <v>55</v>
      </c>
      <c r="B9" s="258">
        <v>0.72</v>
      </c>
      <c r="C9" s="257">
        <v>0.13</v>
      </c>
    </row>
    <row r="10" spans="1:3" ht="12.75">
      <c r="A10" s="7" t="s">
        <v>56</v>
      </c>
      <c r="B10" s="258">
        <v>0.82</v>
      </c>
      <c r="C10" s="260">
        <v>0.1</v>
      </c>
    </row>
    <row r="11" spans="1:3" ht="12.75">
      <c r="A11" s="7" t="s">
        <v>68</v>
      </c>
      <c r="B11" s="258">
        <v>0.32</v>
      </c>
      <c r="C11" s="257">
        <v>0.03</v>
      </c>
    </row>
    <row r="12" spans="1:3" ht="13.5" thickBot="1">
      <c r="A12" s="8" t="s">
        <v>57</v>
      </c>
      <c r="B12" s="261">
        <v>0.68</v>
      </c>
      <c r="C12" s="262">
        <v>0.09</v>
      </c>
    </row>
    <row r="13" spans="1:2" ht="12.75">
      <c r="A13" s="44" t="s">
        <v>47</v>
      </c>
      <c r="B13" s="18"/>
    </row>
    <row r="15" ht="13.5" thickBot="1">
      <c r="A15" s="1" t="s">
        <v>69</v>
      </c>
    </row>
    <row r="16" spans="1:3" ht="14.25">
      <c r="A16" s="45" t="s">
        <v>54</v>
      </c>
      <c r="B16" s="12" t="s">
        <v>11</v>
      </c>
      <c r="C16" s="13" t="s">
        <v>12</v>
      </c>
    </row>
    <row r="17" spans="1:3" ht="12.75">
      <c r="A17" s="7" t="s">
        <v>59</v>
      </c>
      <c r="B17" s="50">
        <v>51.3</v>
      </c>
      <c r="C17" s="5">
        <v>14.8</v>
      </c>
    </row>
    <row r="18" spans="1:3" ht="12.75">
      <c r="A18" s="7" t="s">
        <v>58</v>
      </c>
      <c r="B18" s="50">
        <v>51.3</v>
      </c>
      <c r="C18" s="5">
        <v>14.8</v>
      </c>
    </row>
    <row r="19" spans="1:3" ht="12.75">
      <c r="A19" s="7" t="s">
        <v>60</v>
      </c>
      <c r="B19" s="50">
        <v>51.3</v>
      </c>
      <c r="C19" s="5">
        <v>5.9</v>
      </c>
    </row>
    <row r="20" spans="1:3" ht="12.75">
      <c r="A20" s="7" t="s">
        <v>61</v>
      </c>
      <c r="B20" s="50">
        <v>51.3</v>
      </c>
      <c r="C20" s="5">
        <v>6</v>
      </c>
    </row>
    <row r="21" spans="1:3" ht="12.75">
      <c r="A21" s="7" t="s">
        <v>55</v>
      </c>
      <c r="B21" s="50">
        <v>51.3</v>
      </c>
      <c r="C21" s="5">
        <v>19.4</v>
      </c>
    </row>
    <row r="22" spans="1:3" ht="12.75">
      <c r="A22" s="7" t="s">
        <v>56</v>
      </c>
      <c r="B22" s="50">
        <v>51.3</v>
      </c>
      <c r="C22" s="5">
        <v>7.6</v>
      </c>
    </row>
    <row r="23" spans="1:3" ht="12.75">
      <c r="A23" s="7" t="s">
        <v>68</v>
      </c>
      <c r="B23" s="79">
        <v>51.3</v>
      </c>
      <c r="C23" s="15" t="s">
        <v>50</v>
      </c>
    </row>
    <row r="24" spans="1:3" ht="13.5" thickBot="1">
      <c r="A24" s="8" t="s">
        <v>57</v>
      </c>
      <c r="B24" s="51">
        <v>51.3</v>
      </c>
      <c r="C24" s="6">
        <v>5.7</v>
      </c>
    </row>
    <row r="25" spans="1:2" ht="12.75">
      <c r="A25" s="44" t="s">
        <v>47</v>
      </c>
      <c r="B25" s="18"/>
    </row>
    <row r="27" ht="13.5" thickBot="1">
      <c r="A27" s="1" t="s">
        <v>18</v>
      </c>
    </row>
    <row r="28" spans="1:3" ht="25.5">
      <c r="A28" s="20"/>
      <c r="B28" s="43" t="s">
        <v>7</v>
      </c>
      <c r="C28" s="43" t="s">
        <v>8</v>
      </c>
    </row>
    <row r="29" spans="1:3" ht="13.5" thickBot="1">
      <c r="A29" s="14"/>
      <c r="B29" s="69">
        <v>2.7</v>
      </c>
      <c r="C29" s="69">
        <v>0.2</v>
      </c>
    </row>
    <row r="30" ht="12.75">
      <c r="A30" s="44" t="s">
        <v>47</v>
      </c>
    </row>
    <row r="32" ht="13.5" thickBot="1">
      <c r="A32" s="1" t="s">
        <v>63</v>
      </c>
    </row>
    <row r="33" spans="1:3" ht="27">
      <c r="A33" s="45" t="s">
        <v>64</v>
      </c>
      <c r="B33" s="21" t="s">
        <v>48</v>
      </c>
      <c r="C33" s="22" t="s">
        <v>49</v>
      </c>
    </row>
    <row r="34" spans="1:3" ht="12.75">
      <c r="A34" s="7" t="s">
        <v>38</v>
      </c>
      <c r="B34" s="50">
        <v>8.98</v>
      </c>
      <c r="C34" s="5">
        <v>0.15</v>
      </c>
    </row>
    <row r="35" spans="1:3" ht="13.5" thickBot="1">
      <c r="A35" s="8" t="s">
        <v>39</v>
      </c>
      <c r="B35" s="51">
        <v>8.98</v>
      </c>
      <c r="C35" s="6">
        <v>0.16</v>
      </c>
    </row>
    <row r="36" ht="12.75">
      <c r="A36" s="46" t="s">
        <v>65</v>
      </c>
    </row>
    <row r="37" spans="1:12" ht="12.75">
      <c r="A37" s="42" t="s">
        <v>67</v>
      </c>
      <c r="B37" s="42"/>
      <c r="C37" s="42"/>
      <c r="D37" s="42"/>
      <c r="E37" s="42"/>
      <c r="F37" s="42"/>
      <c r="G37" s="42"/>
      <c r="H37" s="42"/>
      <c r="I37" s="42"/>
      <c r="J37" s="42"/>
      <c r="K37" s="42"/>
      <c r="L37" s="42"/>
    </row>
    <row r="38" spans="1:12" ht="12.75">
      <c r="A38" s="42" t="s">
        <v>66</v>
      </c>
      <c r="B38" s="42"/>
      <c r="C38" s="42"/>
      <c r="D38" s="42"/>
      <c r="E38" s="42"/>
      <c r="F38" s="42"/>
      <c r="G38" s="42"/>
      <c r="H38" s="42"/>
      <c r="I38" s="42"/>
      <c r="J38" s="42"/>
      <c r="K38" s="42"/>
      <c r="L38" s="42"/>
    </row>
    <row r="39" spans="1:12" ht="12.75">
      <c r="A39" s="42" t="s">
        <v>2</v>
      </c>
      <c r="B39" s="42"/>
      <c r="C39" s="42"/>
      <c r="D39" s="42"/>
      <c r="E39" s="42"/>
      <c r="F39" s="42"/>
      <c r="G39" s="42"/>
      <c r="H39" s="42"/>
      <c r="I39" s="42"/>
      <c r="J39" s="42"/>
      <c r="K39" s="42"/>
      <c r="L39" s="42"/>
    </row>
    <row r="41" ht="13.5" thickBot="1">
      <c r="A41" s="1" t="s">
        <v>19</v>
      </c>
    </row>
    <row r="42" spans="1:4" ht="12.75">
      <c r="A42" s="83" t="s">
        <v>26</v>
      </c>
      <c r="B42" s="84" t="s">
        <v>27</v>
      </c>
      <c r="C42" s="85" t="s">
        <v>28</v>
      </c>
      <c r="D42" s="80" t="s">
        <v>70</v>
      </c>
    </row>
    <row r="43" spans="1:4" ht="26.25" customHeight="1">
      <c r="A43" s="86" t="s">
        <v>158</v>
      </c>
      <c r="B43" s="50">
        <v>24.11</v>
      </c>
      <c r="C43" s="82" t="s">
        <v>29</v>
      </c>
      <c r="D43" s="87" t="s">
        <v>30</v>
      </c>
    </row>
    <row r="44" spans="1:4" ht="26.25" customHeight="1">
      <c r="A44" s="247" t="s">
        <v>295</v>
      </c>
      <c r="B44" s="248">
        <v>0.99</v>
      </c>
      <c r="C44" s="249" t="s">
        <v>296</v>
      </c>
      <c r="D44" s="250" t="s">
        <v>30</v>
      </c>
    </row>
    <row r="45" spans="1:4" ht="24" customHeight="1">
      <c r="A45" s="86" t="s">
        <v>20</v>
      </c>
      <c r="B45" s="50">
        <v>6.8</v>
      </c>
      <c r="C45" s="82" t="s">
        <v>159</v>
      </c>
      <c r="D45" s="87" t="s">
        <v>30</v>
      </c>
    </row>
    <row r="46" spans="1:4" ht="27.75" customHeight="1">
      <c r="A46" s="86" t="s">
        <v>21</v>
      </c>
      <c r="B46" s="50">
        <v>77.2</v>
      </c>
      <c r="C46" s="11" t="s">
        <v>31</v>
      </c>
      <c r="D46" s="87" t="s">
        <v>30</v>
      </c>
    </row>
    <row r="47" spans="1:4" ht="24" customHeight="1">
      <c r="A47" s="86" t="s">
        <v>22</v>
      </c>
      <c r="B47" s="50">
        <v>18.5</v>
      </c>
      <c r="C47" s="11" t="s">
        <v>32</v>
      </c>
      <c r="D47" s="87" t="s">
        <v>30</v>
      </c>
    </row>
    <row r="48" spans="1:4" ht="23.25" customHeight="1">
      <c r="A48" s="86" t="s">
        <v>23</v>
      </c>
      <c r="B48" s="50">
        <v>118.8</v>
      </c>
      <c r="C48" s="11" t="s">
        <v>33</v>
      </c>
      <c r="D48" s="87" t="s">
        <v>30</v>
      </c>
    </row>
    <row r="49" spans="1:4" ht="23.25" customHeight="1">
      <c r="A49" s="86" t="s">
        <v>156</v>
      </c>
      <c r="B49" s="50">
        <v>0.3</v>
      </c>
      <c r="C49" s="158" t="s">
        <v>157</v>
      </c>
      <c r="D49" s="87" t="s">
        <v>30</v>
      </c>
    </row>
    <row r="50" spans="1:4" ht="25.5">
      <c r="A50" s="86" t="s">
        <v>24</v>
      </c>
      <c r="B50" s="50">
        <v>67.22</v>
      </c>
      <c r="C50" s="11" t="s">
        <v>34</v>
      </c>
      <c r="D50" s="87" t="s">
        <v>35</v>
      </c>
    </row>
    <row r="51" spans="1:4" ht="25.5">
      <c r="A51" s="86" t="s">
        <v>25</v>
      </c>
      <c r="B51" s="50">
        <v>35.8</v>
      </c>
      <c r="C51" s="11" t="s">
        <v>36</v>
      </c>
      <c r="D51" s="87" t="s">
        <v>30</v>
      </c>
    </row>
    <row r="52" spans="1:4" ht="25.5">
      <c r="A52" s="86" t="s">
        <v>145</v>
      </c>
      <c r="B52" s="156">
        <v>9.5</v>
      </c>
      <c r="C52" s="11" t="s">
        <v>160</v>
      </c>
      <c r="D52" s="87" t="s">
        <v>30</v>
      </c>
    </row>
    <row r="53" spans="1:4" ht="13.5" customHeight="1">
      <c r="A53" s="86" t="s">
        <v>146</v>
      </c>
      <c r="B53" s="156">
        <v>15</v>
      </c>
      <c r="C53" s="11" t="s">
        <v>161</v>
      </c>
      <c r="D53" s="87" t="s">
        <v>30</v>
      </c>
    </row>
    <row r="54" spans="1:4" ht="15.75" customHeight="1">
      <c r="A54" s="86" t="s">
        <v>147</v>
      </c>
      <c r="B54" s="156">
        <v>80.5</v>
      </c>
      <c r="C54" s="11" t="s">
        <v>162</v>
      </c>
      <c r="D54" s="87" t="s">
        <v>30</v>
      </c>
    </row>
    <row r="55" spans="1:4" ht="30" customHeight="1">
      <c r="A55" s="86" t="s">
        <v>148</v>
      </c>
      <c r="B55" s="156">
        <v>120</v>
      </c>
      <c r="C55" s="11" t="s">
        <v>163</v>
      </c>
      <c r="D55" s="87" t="s">
        <v>164</v>
      </c>
    </row>
    <row r="56" spans="1:4" ht="11.25" customHeight="1">
      <c r="A56" s="86" t="s">
        <v>149</v>
      </c>
      <c r="B56" s="156">
        <v>80</v>
      </c>
      <c r="C56" s="11" t="s">
        <v>165</v>
      </c>
      <c r="D56" s="87" t="s">
        <v>30</v>
      </c>
    </row>
    <row r="57" spans="1:4" ht="13.5" customHeight="1">
      <c r="A57" s="86" t="s">
        <v>150</v>
      </c>
      <c r="B57" s="156">
        <v>2.7</v>
      </c>
      <c r="C57" s="11" t="s">
        <v>166</v>
      </c>
      <c r="D57" s="87" t="s">
        <v>30</v>
      </c>
    </row>
    <row r="58" spans="1:4" ht="15.75" customHeight="1">
      <c r="A58" s="86" t="s">
        <v>151</v>
      </c>
      <c r="B58" s="156">
        <v>2.5</v>
      </c>
      <c r="C58" s="50"/>
      <c r="D58" s="87" t="s">
        <v>153</v>
      </c>
    </row>
    <row r="59" spans="1:4" ht="12" customHeight="1" thickBot="1">
      <c r="A59" s="88" t="s">
        <v>152</v>
      </c>
      <c r="B59" s="141">
        <v>0.7</v>
      </c>
      <c r="C59" s="51"/>
      <c r="D59" s="89" t="s">
        <v>153</v>
      </c>
    </row>
    <row r="61" ht="13.5" thickBot="1">
      <c r="A61" t="s">
        <v>135</v>
      </c>
    </row>
    <row r="62" spans="1:2" ht="12.75">
      <c r="A62" s="130" t="s">
        <v>127</v>
      </c>
      <c r="B62" s="80" t="s">
        <v>128</v>
      </c>
    </row>
    <row r="63" spans="1:2" ht="12.75">
      <c r="A63" s="7" t="s">
        <v>129</v>
      </c>
      <c r="B63" s="5">
        <v>0</v>
      </c>
    </row>
    <row r="64" spans="1:2" ht="12.75">
      <c r="A64" s="7" t="s">
        <v>130</v>
      </c>
      <c r="B64" s="5">
        <v>0.3</v>
      </c>
    </row>
    <row r="65" spans="1:2" ht="12.75">
      <c r="A65" s="7" t="s">
        <v>131</v>
      </c>
      <c r="B65" s="5">
        <v>0.8</v>
      </c>
    </row>
    <row r="66" spans="1:2" ht="12.75">
      <c r="A66" s="7" t="s">
        <v>132</v>
      </c>
      <c r="B66" s="5">
        <v>0.2</v>
      </c>
    </row>
    <row r="67" spans="1:2" ht="13.5" thickBot="1">
      <c r="A67" s="8" t="s">
        <v>133</v>
      </c>
      <c r="B67" s="6">
        <v>0.8</v>
      </c>
    </row>
    <row r="69" spans="1:2" ht="12.75">
      <c r="A69" s="50" t="s">
        <v>136</v>
      </c>
      <c r="B69" s="50">
        <v>22.5</v>
      </c>
    </row>
    <row r="70" spans="1:2" ht="12.75">
      <c r="A70" s="50" t="s">
        <v>137</v>
      </c>
      <c r="B70" s="50">
        <v>0.54</v>
      </c>
    </row>
    <row r="71" spans="1:2" ht="12.75">
      <c r="A71" s="50" t="s">
        <v>138</v>
      </c>
      <c r="B71" s="50">
        <v>0.65</v>
      </c>
    </row>
    <row r="72" spans="1:2" ht="12.75">
      <c r="A72" s="50" t="s">
        <v>139</v>
      </c>
      <c r="B72" s="50">
        <v>0.65</v>
      </c>
    </row>
    <row r="73" spans="1:2" ht="12.75">
      <c r="A73" s="50" t="s">
        <v>140</v>
      </c>
      <c r="B73" s="50">
        <v>0.29</v>
      </c>
    </row>
    <row r="74" spans="1:2" ht="12.75">
      <c r="A74" s="50" t="s">
        <v>141</v>
      </c>
      <c r="B74" s="50">
        <v>21</v>
      </c>
    </row>
    <row r="75" ht="12.75">
      <c r="A75" s="44" t="s">
        <v>134</v>
      </c>
    </row>
    <row r="77" ht="13.5" thickBot="1">
      <c r="A77" s="1" t="s">
        <v>220</v>
      </c>
    </row>
    <row r="78" spans="1:5" s="4" customFormat="1" ht="25.5">
      <c r="A78" s="177" t="s">
        <v>221</v>
      </c>
      <c r="B78" s="178" t="s">
        <v>223</v>
      </c>
      <c r="C78" s="179" t="s">
        <v>224</v>
      </c>
      <c r="D78" s="179" t="s">
        <v>225</v>
      </c>
      <c r="E78" s="180" t="s">
        <v>226</v>
      </c>
    </row>
    <row r="79" spans="1:5" ht="12.75">
      <c r="A79" s="7" t="s">
        <v>227</v>
      </c>
      <c r="B79" s="172">
        <v>0.113</v>
      </c>
      <c r="C79" s="173">
        <v>0.125</v>
      </c>
      <c r="D79" s="172">
        <v>0.176</v>
      </c>
      <c r="E79" s="174">
        <v>0.124</v>
      </c>
    </row>
    <row r="80" spans="1:5" ht="12.75">
      <c r="A80" s="7" t="s">
        <v>222</v>
      </c>
      <c r="B80" s="172">
        <v>0.133</v>
      </c>
      <c r="C80" s="172">
        <v>0.142</v>
      </c>
      <c r="D80" s="172">
        <v>0.145</v>
      </c>
      <c r="E80" s="174">
        <v>0.145</v>
      </c>
    </row>
    <row r="81" spans="1:5" ht="12.75">
      <c r="A81" s="7" t="s">
        <v>228</v>
      </c>
      <c r="B81" s="172">
        <v>0.239</v>
      </c>
      <c r="C81" s="172">
        <v>0.285</v>
      </c>
      <c r="D81" s="172">
        <v>0.267</v>
      </c>
      <c r="E81" s="174">
        <v>0.261</v>
      </c>
    </row>
    <row r="82" spans="1:5" ht="12.75">
      <c r="A82" s="7" t="s">
        <v>229</v>
      </c>
      <c r="B82" s="172">
        <v>0.368</v>
      </c>
      <c r="C82" s="172">
        <v>0.546</v>
      </c>
      <c r="D82" s="172">
        <v>0.444</v>
      </c>
      <c r="E82" s="174">
        <v>0.402</v>
      </c>
    </row>
    <row r="83" spans="1:5" ht="12.75">
      <c r="A83" s="7" t="s">
        <v>230</v>
      </c>
      <c r="B83" s="172">
        <v>0.143</v>
      </c>
      <c r="C83" s="172">
        <v>0.278</v>
      </c>
      <c r="D83" s="172">
        <v>0.457</v>
      </c>
      <c r="E83" s="174">
        <v>0.156</v>
      </c>
    </row>
    <row r="84" spans="1:5" ht="13.5" thickBot="1">
      <c r="A84" s="8" t="s">
        <v>231</v>
      </c>
      <c r="B84" s="175">
        <v>0.06</v>
      </c>
      <c r="C84" s="175" t="s">
        <v>232</v>
      </c>
      <c r="D84" s="175" t="s">
        <v>232</v>
      </c>
      <c r="E84" s="176">
        <v>0.066</v>
      </c>
    </row>
    <row r="85" ht="12.75">
      <c r="A85" t="s">
        <v>233</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8"/>
  </sheetPr>
  <dimension ref="A1:I30"/>
  <sheetViews>
    <sheetView showGridLines="0" zoomScalePageLayoutView="0" workbookViewId="0" topLeftCell="A1">
      <selection activeCell="N10" sqref="N10"/>
    </sheetView>
  </sheetViews>
  <sheetFormatPr defaultColWidth="9.140625" defaultRowHeight="12.75"/>
  <cols>
    <col min="1" max="1" width="3.28125" style="0" customWidth="1"/>
  </cols>
  <sheetData>
    <row r="1" spans="1:9" ht="12.75">
      <c r="A1" s="16" t="s">
        <v>197</v>
      </c>
      <c r="I1" s="16" t="s">
        <v>193</v>
      </c>
    </row>
    <row r="3" spans="2:9" ht="12.75">
      <c r="B3" s="16" t="s">
        <v>172</v>
      </c>
      <c r="I3" s="16" t="s">
        <v>194</v>
      </c>
    </row>
    <row r="4" spans="2:9" ht="12.75">
      <c r="B4" t="s">
        <v>198</v>
      </c>
      <c r="I4" t="s">
        <v>195</v>
      </c>
    </row>
    <row r="5" spans="2:9" ht="12.75">
      <c r="B5" t="s">
        <v>199</v>
      </c>
      <c r="I5" t="s">
        <v>251</v>
      </c>
    </row>
    <row r="6" spans="2:9" ht="12.75">
      <c r="B6" t="s">
        <v>200</v>
      </c>
      <c r="I6" s="17" t="s">
        <v>196</v>
      </c>
    </row>
    <row r="7" ht="12.75">
      <c r="B7" t="s">
        <v>201</v>
      </c>
    </row>
    <row r="8" ht="12.75">
      <c r="B8" t="s">
        <v>202</v>
      </c>
    </row>
    <row r="10" ht="12.75">
      <c r="B10" s="16" t="s">
        <v>173</v>
      </c>
    </row>
    <row r="11" ht="12.75">
      <c r="B11" t="s">
        <v>203</v>
      </c>
    </row>
    <row r="12" ht="12.75">
      <c r="B12" t="s">
        <v>204</v>
      </c>
    </row>
    <row r="13" spans="2:9" ht="12.75">
      <c r="B13" t="s">
        <v>205</v>
      </c>
      <c r="I13" s="16"/>
    </row>
    <row r="14" ht="12.75">
      <c r="B14" t="s">
        <v>206</v>
      </c>
    </row>
    <row r="18" spans="1:3" ht="12.75">
      <c r="A18" s="16" t="s">
        <v>247</v>
      </c>
      <c r="C18" s="16"/>
    </row>
    <row r="19" ht="12.75">
      <c r="A19" s="16"/>
    </row>
    <row r="20" ht="12.75">
      <c r="B20" s="16" t="s">
        <v>249</v>
      </c>
    </row>
    <row r="21" ht="12.75">
      <c r="B21" t="s">
        <v>248</v>
      </c>
    </row>
    <row r="22" ht="12.75">
      <c r="B22" t="s">
        <v>250</v>
      </c>
    </row>
    <row r="23" ht="12.75">
      <c r="B23" t="s">
        <v>252</v>
      </c>
    </row>
    <row r="24" ht="12.75">
      <c r="B24" t="s">
        <v>253</v>
      </c>
    </row>
    <row r="26" ht="12.75">
      <c r="B26" s="16" t="s">
        <v>254</v>
      </c>
    </row>
    <row r="27" ht="12.75">
      <c r="B27" t="s">
        <v>255</v>
      </c>
    </row>
    <row r="28" ht="12.75">
      <c r="B28" t="s">
        <v>256</v>
      </c>
    </row>
    <row r="29" ht="12.75">
      <c r="B29" t="s">
        <v>257</v>
      </c>
    </row>
    <row r="30" ht="12.75">
      <c r="B30" t="s">
        <v>258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Energetics</dc:creator>
  <cp:keywords/>
  <dc:description/>
  <cp:lastModifiedBy>STRUZINT</cp:lastModifiedBy>
  <cp:lastPrinted>2008-03-27T06:53:33Z</cp:lastPrinted>
  <dcterms:created xsi:type="dcterms:W3CDTF">2008-03-09T03:16:10Z</dcterms:created>
  <dcterms:modified xsi:type="dcterms:W3CDTF">2010-12-17T04:53:19Z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